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настоящее\проверки\ФОМС\заключение\2023 год\1 полугодие 2023 года\"/>
    </mc:Choice>
  </mc:AlternateContent>
  <bookViews>
    <workbookView xWindow="0" yWindow="0" windowWidth="28800" windowHeight="12435"/>
  </bookViews>
  <sheets>
    <sheet name="Лист2" sheetId="2" r:id="rId1"/>
  </sheets>
  <definedNames>
    <definedName name="_xlnm.Print_Titles" localSheetId="0">Лист2!$A:$A,Лист2!$2:$4</definedName>
    <definedName name="_xlnm.Print_Area" localSheetId="0">Лист2!$A$1:$AA$60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61" i="2" l="1"/>
  <c r="BX44" i="2"/>
  <c r="BX41" i="2"/>
  <c r="BX40" i="2"/>
  <c r="BX36" i="2"/>
  <c r="BX32" i="2"/>
  <c r="BX31" i="2"/>
  <c r="BX16" i="2"/>
  <c r="BV60" i="2"/>
  <c r="BW60" i="2" s="1"/>
  <c r="BV59" i="2"/>
  <c r="BW59" i="2" s="1"/>
  <c r="BV58" i="2"/>
  <c r="BW58" i="2" s="1"/>
  <c r="BV57" i="2"/>
  <c r="BW57" i="2" s="1"/>
  <c r="BV56" i="2"/>
  <c r="BW56" i="2" s="1"/>
  <c r="BV53" i="2"/>
  <c r="BW53" i="2" s="1"/>
  <c r="BV51" i="2"/>
  <c r="BW51" i="2" s="1"/>
  <c r="BV50" i="2"/>
  <c r="BW50" i="2" s="1"/>
  <c r="BV49" i="2"/>
  <c r="BW49" i="2" s="1"/>
  <c r="BV47" i="2"/>
  <c r="BW47" i="2" s="1"/>
  <c r="BV46" i="2"/>
  <c r="BW46" i="2" s="1"/>
  <c r="BV45" i="2"/>
  <c r="BW45" i="2" s="1"/>
  <c r="BV44" i="2"/>
  <c r="BW44" i="2" s="1"/>
  <c r="BV43" i="2"/>
  <c r="BW43" i="2" s="1"/>
  <c r="BV42" i="2"/>
  <c r="BW42" i="2" s="1"/>
  <c r="BV41" i="2"/>
  <c r="BW41" i="2" s="1"/>
  <c r="BV40" i="2"/>
  <c r="BW40" i="2" s="1"/>
  <c r="BV39" i="2"/>
  <c r="BW39" i="2" s="1"/>
  <c r="BV37" i="2"/>
  <c r="BW37" i="2" s="1"/>
  <c r="BV36" i="2"/>
  <c r="BW36" i="2" s="1"/>
  <c r="BV35" i="2"/>
  <c r="BW35" i="2" s="1"/>
  <c r="BV34" i="2"/>
  <c r="BW34" i="2" s="1"/>
  <c r="BV33" i="2"/>
  <c r="BW33" i="2" s="1"/>
  <c r="BV32" i="2"/>
  <c r="BW32" i="2" s="1"/>
  <c r="BV31" i="2"/>
  <c r="BW31" i="2" s="1"/>
  <c r="BV30" i="2"/>
  <c r="BW30" i="2" s="1"/>
  <c r="BV29" i="2"/>
  <c r="BW29" i="2" s="1"/>
  <c r="BV27" i="2"/>
  <c r="BV26" i="2"/>
  <c r="BW26" i="2" s="1"/>
  <c r="BV25" i="2"/>
  <c r="BW25" i="2" s="1"/>
  <c r="BV24" i="2"/>
  <c r="BW24" i="2" s="1"/>
  <c r="BV23" i="2"/>
  <c r="BW23" i="2" s="1"/>
  <c r="BV22" i="2"/>
  <c r="BW22" i="2" s="1"/>
  <c r="BV21" i="2"/>
  <c r="BW21" i="2" s="1"/>
  <c r="BV20" i="2"/>
  <c r="BW20" i="2" s="1"/>
  <c r="BV19" i="2"/>
  <c r="BW19" i="2" s="1"/>
  <c r="BV18" i="2"/>
  <c r="BW18" i="2" s="1"/>
  <c r="BV17" i="2"/>
  <c r="BW17" i="2" s="1"/>
  <c r="BV16" i="2"/>
  <c r="BW16" i="2" s="1"/>
  <c r="BV15" i="2"/>
  <c r="BW15" i="2" s="1"/>
  <c r="BV14" i="2"/>
  <c r="BW14" i="2" s="1"/>
  <c r="BV13" i="2"/>
  <c r="BW13" i="2" s="1"/>
  <c r="BV12" i="2"/>
  <c r="BW12" i="2" s="1"/>
  <c r="BV11" i="2"/>
  <c r="BW11" i="2" s="1"/>
  <c r="BV10" i="2"/>
  <c r="BW10" i="2" s="1"/>
  <c r="BV9" i="2"/>
  <c r="BW9" i="2" s="1"/>
  <c r="BV8" i="2"/>
  <c r="BW8" i="2" s="1"/>
  <c r="BV7" i="2"/>
  <c r="BW7" i="2" s="1"/>
  <c r="BV6" i="2"/>
  <c r="BW6" i="2" s="1"/>
  <c r="BV5" i="2"/>
  <c r="BW5" i="2" s="1"/>
  <c r="BW48" i="2"/>
  <c r="BV48" i="2"/>
  <c r="BS60" i="2"/>
  <c r="BR60" i="2"/>
  <c r="BX56" i="2" l="1"/>
  <c r="BU60" i="2"/>
  <c r="BT60" i="2"/>
  <c r="BX58" i="2"/>
  <c r="BX57" i="2"/>
  <c r="BL60" i="2" l="1"/>
  <c r="BN56" i="2"/>
  <c r="BO56" i="2" s="1"/>
  <c r="BN49" i="2"/>
  <c r="BO49" i="2" s="1"/>
  <c r="BM60" i="2"/>
  <c r="BN25" i="2"/>
  <c r="BO25" i="2" s="1"/>
  <c r="BN23" i="2"/>
  <c r="BO23" i="2" s="1"/>
  <c r="BN20" i="2"/>
  <c r="BO20" i="2" s="1"/>
  <c r="BN17" i="2"/>
  <c r="BO17" i="2" s="1"/>
  <c r="BN10" i="2"/>
  <c r="BO10" i="2" s="1"/>
  <c r="BN8" i="2"/>
  <c r="BO8" i="2" s="1"/>
  <c r="BN7" i="2"/>
  <c r="BO7" i="2" s="1"/>
  <c r="BX60" i="2" l="1"/>
  <c r="BG58" i="2" l="1"/>
  <c r="BP58" i="2" s="1"/>
  <c r="BQ58" i="2" s="1"/>
  <c r="BG57" i="2"/>
  <c r="BP57" i="2" s="1"/>
  <c r="BQ57" i="2" s="1"/>
  <c r="BG50" i="2"/>
  <c r="BP50" i="2" s="1"/>
  <c r="BG46" i="2"/>
  <c r="BP46" i="2" s="1"/>
  <c r="BG44" i="2"/>
  <c r="BP44" i="2" s="1"/>
  <c r="BQ44" i="2" s="1"/>
  <c r="BG43" i="2"/>
  <c r="BP43" i="2" s="1"/>
  <c r="BQ43" i="2" s="1"/>
  <c r="BG41" i="2"/>
  <c r="BP41" i="2" s="1"/>
  <c r="BQ41" i="2" s="1"/>
  <c r="BG40" i="2"/>
  <c r="BP40" i="2" s="1"/>
  <c r="BQ40" i="2" s="1"/>
  <c r="BG39" i="2"/>
  <c r="BP39" i="2" s="1"/>
  <c r="BQ39" i="2" s="1"/>
  <c r="BG33" i="2"/>
  <c r="BP33" i="2" s="1"/>
  <c r="BG32" i="2"/>
  <c r="BP32" i="2" s="1"/>
  <c r="BG31" i="2"/>
  <c r="BP31" i="2" s="1"/>
  <c r="BQ31" i="2" s="1"/>
  <c r="BF59" i="2"/>
  <c r="BN59" i="2" s="1"/>
  <c r="BO59" i="2" s="1"/>
  <c r="BF58" i="2"/>
  <c r="BN58" i="2" s="1"/>
  <c r="BO58" i="2" s="1"/>
  <c r="BF57" i="2"/>
  <c r="BN57" i="2" s="1"/>
  <c r="BO57" i="2" s="1"/>
  <c r="BF53" i="2"/>
  <c r="BN53" i="2" s="1"/>
  <c r="BO53" i="2" s="1"/>
  <c r="BF51" i="2"/>
  <c r="BN51" i="2" s="1"/>
  <c r="BO51" i="2" s="1"/>
  <c r="BF50" i="2"/>
  <c r="BN50" i="2" s="1"/>
  <c r="BO50" i="2" s="1"/>
  <c r="BF48" i="2"/>
  <c r="BN48" i="2" s="1"/>
  <c r="BO48" i="2" s="1"/>
  <c r="BF47" i="2"/>
  <c r="BN47" i="2" s="1"/>
  <c r="BO47" i="2" s="1"/>
  <c r="BF46" i="2"/>
  <c r="BN46" i="2" s="1"/>
  <c r="BO46" i="2" s="1"/>
  <c r="BF45" i="2"/>
  <c r="BN45" i="2" s="1"/>
  <c r="BO45" i="2" s="1"/>
  <c r="BF44" i="2"/>
  <c r="BN44" i="2" s="1"/>
  <c r="BO44" i="2" s="1"/>
  <c r="BF43" i="2"/>
  <c r="BN43" i="2" s="1"/>
  <c r="BO43" i="2" s="1"/>
  <c r="BF42" i="2"/>
  <c r="BN42" i="2" s="1"/>
  <c r="BO42" i="2" s="1"/>
  <c r="BF41" i="2"/>
  <c r="BN41" i="2" s="1"/>
  <c r="BO41" i="2" s="1"/>
  <c r="BF40" i="2"/>
  <c r="BN40" i="2" s="1"/>
  <c r="BO40" i="2" s="1"/>
  <c r="BF39" i="2"/>
  <c r="BN39" i="2" s="1"/>
  <c r="BO39" i="2" s="1"/>
  <c r="BF37" i="2"/>
  <c r="BN37" i="2" s="1"/>
  <c r="BO37" i="2" s="1"/>
  <c r="BF36" i="2"/>
  <c r="BN36" i="2" s="1"/>
  <c r="BO36" i="2" s="1"/>
  <c r="BF35" i="2"/>
  <c r="BN35" i="2" s="1"/>
  <c r="BO35" i="2" s="1"/>
  <c r="BF34" i="2"/>
  <c r="BN34" i="2" s="1"/>
  <c r="BO34" i="2" s="1"/>
  <c r="BF33" i="2"/>
  <c r="BN33" i="2" s="1"/>
  <c r="BO33" i="2" s="1"/>
  <c r="BF32" i="2"/>
  <c r="BN32" i="2" s="1"/>
  <c r="BO32" i="2" s="1"/>
  <c r="BF31" i="2"/>
  <c r="BN31" i="2" s="1"/>
  <c r="BO31" i="2" s="1"/>
  <c r="BF30" i="2"/>
  <c r="BN30" i="2" s="1"/>
  <c r="BO30" i="2" s="1"/>
  <c r="BF29" i="2"/>
  <c r="BN29" i="2" s="1"/>
  <c r="BO29" i="2" s="1"/>
  <c r="BF26" i="2"/>
  <c r="BN26" i="2" s="1"/>
  <c r="BO26" i="2" s="1"/>
  <c r="BF24" i="2"/>
  <c r="BN24" i="2" s="1"/>
  <c r="BO24" i="2" s="1"/>
  <c r="BF22" i="2"/>
  <c r="BN22" i="2" s="1"/>
  <c r="BO22" i="2" s="1"/>
  <c r="BF21" i="2"/>
  <c r="BN21" i="2" s="1"/>
  <c r="BO21" i="2" s="1"/>
  <c r="BF19" i="2"/>
  <c r="BN19" i="2" s="1"/>
  <c r="BO19" i="2" s="1"/>
  <c r="BF18" i="2"/>
  <c r="BN18" i="2" s="1"/>
  <c r="BO18" i="2" s="1"/>
  <c r="BF16" i="2"/>
  <c r="BN16" i="2" s="1"/>
  <c r="BO16" i="2" s="1"/>
  <c r="BF15" i="2"/>
  <c r="BN15" i="2" s="1"/>
  <c r="BO15" i="2" s="1"/>
  <c r="BF14" i="2"/>
  <c r="BN14" i="2" s="1"/>
  <c r="BO14" i="2" s="1"/>
  <c r="BF13" i="2"/>
  <c r="BN13" i="2" s="1"/>
  <c r="BO13" i="2" s="1"/>
  <c r="BF12" i="2"/>
  <c r="BN12" i="2" s="1"/>
  <c r="BO12" i="2" s="1"/>
  <c r="BF11" i="2"/>
  <c r="BN11" i="2" s="1"/>
  <c r="BO11" i="2" s="1"/>
  <c r="BF9" i="2"/>
  <c r="BN9" i="2" s="1"/>
  <c r="BO9" i="2" s="1"/>
  <c r="BF6" i="2"/>
  <c r="BN6" i="2" s="1"/>
  <c r="BO6" i="2" s="1"/>
  <c r="BF5" i="2"/>
  <c r="BN5" i="2" s="1"/>
  <c r="BO5" i="2" s="1"/>
  <c r="BG60" i="2" l="1"/>
  <c r="BP60" i="2" s="1"/>
  <c r="BQ60" i="2" s="1"/>
  <c r="BF60" i="2"/>
  <c r="BN60" i="2" s="1"/>
  <c r="BO60" i="2" s="1"/>
  <c r="BH27" i="2"/>
  <c r="BI27" i="2" s="1"/>
  <c r="BJ59" i="2"/>
  <c r="BH59" i="2"/>
  <c r="BI59" i="2" s="1"/>
  <c r="BJ56" i="2"/>
  <c r="BH56" i="2"/>
  <c r="BI56" i="2" s="1"/>
  <c r="BJ53" i="2"/>
  <c r="BH53" i="2"/>
  <c r="BI53" i="2" s="1"/>
  <c r="BJ51" i="2"/>
  <c r="BH51" i="2"/>
  <c r="BI51" i="2" s="1"/>
  <c r="BJ50" i="2"/>
  <c r="BH50" i="2"/>
  <c r="BI50" i="2" s="1"/>
  <c r="BJ49" i="2"/>
  <c r="BH49" i="2"/>
  <c r="BI49" i="2" s="1"/>
  <c r="BJ48" i="2"/>
  <c r="BH48" i="2"/>
  <c r="BI48" i="2" s="1"/>
  <c r="BJ47" i="2"/>
  <c r="BH47" i="2"/>
  <c r="BI47" i="2" s="1"/>
  <c r="BJ46" i="2"/>
  <c r="BH46" i="2"/>
  <c r="BI46" i="2" s="1"/>
  <c r="BJ45" i="2"/>
  <c r="BH45" i="2"/>
  <c r="BI45" i="2" s="1"/>
  <c r="BJ42" i="2"/>
  <c r="BH42" i="2"/>
  <c r="BI42" i="2" s="1"/>
  <c r="BJ37" i="2"/>
  <c r="BH37" i="2"/>
  <c r="BI37" i="2" s="1"/>
  <c r="BJ6" i="2"/>
  <c r="BH6" i="2"/>
  <c r="BI6" i="2" s="1"/>
  <c r="BJ36" i="2"/>
  <c r="BH36" i="2"/>
  <c r="BI36" i="2" s="1"/>
  <c r="BJ35" i="2"/>
  <c r="BH35" i="2"/>
  <c r="BI35" i="2" s="1"/>
  <c r="BJ34" i="2"/>
  <c r="BH34" i="2"/>
  <c r="BI34" i="2" s="1"/>
  <c r="BJ33" i="2"/>
  <c r="BH33" i="2"/>
  <c r="BI33" i="2" s="1"/>
  <c r="BJ32" i="2"/>
  <c r="BH32" i="2"/>
  <c r="BI32" i="2" s="1"/>
  <c r="BJ30" i="2"/>
  <c r="BH30" i="2"/>
  <c r="BI30" i="2" s="1"/>
  <c r="BJ29" i="2"/>
  <c r="BH29" i="2"/>
  <c r="BI29" i="2" s="1"/>
  <c r="BJ24" i="2"/>
  <c r="BH24" i="2"/>
  <c r="BI24" i="2" s="1"/>
  <c r="BJ22" i="2"/>
  <c r="BH22" i="2"/>
  <c r="BI22" i="2" s="1"/>
  <c r="BJ26" i="2"/>
  <c r="BH26" i="2"/>
  <c r="BI26" i="2" s="1"/>
  <c r="BJ25" i="2"/>
  <c r="BH25" i="2"/>
  <c r="BI25" i="2" s="1"/>
  <c r="BJ23" i="2"/>
  <c r="BH23" i="2"/>
  <c r="BI23" i="2" s="1"/>
  <c r="BJ21" i="2"/>
  <c r="BH21" i="2"/>
  <c r="BI21" i="2" s="1"/>
  <c r="BJ20" i="2"/>
  <c r="BH20" i="2"/>
  <c r="BI20" i="2" s="1"/>
  <c r="BJ19" i="2"/>
  <c r="BH19" i="2"/>
  <c r="BI19" i="2" s="1"/>
  <c r="BJ16" i="2"/>
  <c r="BH16" i="2"/>
  <c r="BI16" i="2" s="1"/>
  <c r="BJ18" i="2"/>
  <c r="BH18" i="2"/>
  <c r="BI18" i="2" s="1"/>
  <c r="BJ17" i="2"/>
  <c r="BH17" i="2"/>
  <c r="BI17" i="2" s="1"/>
  <c r="BJ15" i="2"/>
  <c r="BH15" i="2"/>
  <c r="BI15" i="2" s="1"/>
  <c r="BJ14" i="2"/>
  <c r="BH14" i="2"/>
  <c r="BI14" i="2" s="1"/>
  <c r="BJ13" i="2"/>
  <c r="BH13" i="2"/>
  <c r="BI13" i="2" s="1"/>
  <c r="BJ12" i="2"/>
  <c r="BH12" i="2"/>
  <c r="BI12" i="2" s="1"/>
  <c r="BJ11" i="2"/>
  <c r="BH11" i="2"/>
  <c r="BI11" i="2" s="1"/>
  <c r="BJ10" i="2"/>
  <c r="BH10" i="2"/>
  <c r="BI10" i="2" s="1"/>
  <c r="BJ9" i="2"/>
  <c r="BH9" i="2"/>
  <c r="BI9" i="2" s="1"/>
  <c r="BJ8" i="2"/>
  <c r="BH8" i="2"/>
  <c r="BI8" i="2" s="1"/>
  <c r="BJ7" i="2"/>
  <c r="BH7" i="2"/>
  <c r="BI7" i="2" s="1"/>
  <c r="BJ58" i="2"/>
  <c r="BK58" i="2" s="1"/>
  <c r="BH58" i="2"/>
  <c r="BI58" i="2" s="1"/>
  <c r="BJ40" i="2"/>
  <c r="BH40" i="2"/>
  <c r="BI40" i="2" s="1"/>
  <c r="BJ44" i="2"/>
  <c r="BK44" i="2" s="1"/>
  <c r="BH44" i="2"/>
  <c r="BI44" i="2" s="1"/>
  <c r="BJ41" i="2"/>
  <c r="BK41" i="2" s="1"/>
  <c r="BH41" i="2"/>
  <c r="BI41" i="2" s="1"/>
  <c r="BJ31" i="2"/>
  <c r="BK31" i="2" s="1"/>
  <c r="BH31" i="2"/>
  <c r="BI31" i="2" s="1"/>
  <c r="BJ43" i="2"/>
  <c r="BK43" i="2" s="1"/>
  <c r="BH43" i="2"/>
  <c r="BI43" i="2" s="1"/>
  <c r="BJ39" i="2"/>
  <c r="BK39" i="2" s="1"/>
  <c r="BI39" i="2"/>
  <c r="BH39" i="2"/>
  <c r="BJ57" i="2"/>
  <c r="BK57" i="2" s="1"/>
  <c r="BH57" i="2"/>
  <c r="BI57" i="2" s="1"/>
  <c r="BJ5" i="2"/>
  <c r="BH5" i="2"/>
  <c r="BI5" i="2" s="1"/>
  <c r="BK40" i="2" l="1"/>
  <c r="BB27" i="2"/>
  <c r="BB59" i="2"/>
  <c r="BC59" i="2" s="1"/>
  <c r="BB58" i="2"/>
  <c r="BC58" i="2" s="1"/>
  <c r="BB57" i="2"/>
  <c r="BC57" i="2" s="1"/>
  <c r="BB56" i="2"/>
  <c r="BC56" i="2" s="1"/>
  <c r="BB53" i="2"/>
  <c r="BC53" i="2" s="1"/>
  <c r="BB51" i="2"/>
  <c r="BC51" i="2" s="1"/>
  <c r="BB50" i="2"/>
  <c r="BC50" i="2" s="1"/>
  <c r="BB49" i="2"/>
  <c r="BC49" i="2" s="1"/>
  <c r="BB48" i="2"/>
  <c r="BC48" i="2" s="1"/>
  <c r="BB47" i="2"/>
  <c r="BC47" i="2" s="1"/>
  <c r="BB46" i="2"/>
  <c r="BC46" i="2" s="1"/>
  <c r="BB45" i="2"/>
  <c r="BC45" i="2" s="1"/>
  <c r="BB44" i="2"/>
  <c r="BC44" i="2" s="1"/>
  <c r="BB43" i="2"/>
  <c r="BC43" i="2" s="1"/>
  <c r="BB42" i="2"/>
  <c r="BC42" i="2" s="1"/>
  <c r="BB41" i="2"/>
  <c r="BC41" i="2" s="1"/>
  <c r="BB40" i="2"/>
  <c r="BC40" i="2" s="1"/>
  <c r="BB39" i="2"/>
  <c r="BC39" i="2" s="1"/>
  <c r="BB37" i="2"/>
  <c r="BC37" i="2" s="1"/>
  <c r="BB6" i="2"/>
  <c r="BC6" i="2" s="1"/>
  <c r="BB36" i="2"/>
  <c r="BC36" i="2" s="1"/>
  <c r="BB35" i="2"/>
  <c r="BC35" i="2" s="1"/>
  <c r="BB34" i="2"/>
  <c r="BC34" i="2" s="1"/>
  <c r="BB33" i="2"/>
  <c r="BC33" i="2" s="1"/>
  <c r="BB32" i="2"/>
  <c r="BC32" i="2" s="1"/>
  <c r="BB31" i="2"/>
  <c r="BC31" i="2" s="1"/>
  <c r="BB30" i="2"/>
  <c r="BC30" i="2" s="1"/>
  <c r="BB29" i="2"/>
  <c r="BC29" i="2" s="1"/>
  <c r="BB24" i="2"/>
  <c r="BC24" i="2" s="1"/>
  <c r="BB22" i="2"/>
  <c r="BC22" i="2" s="1"/>
  <c r="BB26" i="2"/>
  <c r="BC26" i="2" s="1"/>
  <c r="BB25" i="2"/>
  <c r="BC25" i="2" s="1"/>
  <c r="BB23" i="2"/>
  <c r="BC23" i="2" s="1"/>
  <c r="BB21" i="2"/>
  <c r="BC21" i="2" s="1"/>
  <c r="BB20" i="2"/>
  <c r="BC20" i="2" s="1"/>
  <c r="BB19" i="2"/>
  <c r="BC19" i="2" s="1"/>
  <c r="BB16" i="2"/>
  <c r="BC16" i="2" s="1"/>
  <c r="BB18" i="2"/>
  <c r="BC18" i="2" s="1"/>
  <c r="BB17" i="2"/>
  <c r="BC17" i="2" s="1"/>
  <c r="BB15" i="2"/>
  <c r="BC15" i="2" s="1"/>
  <c r="BB14" i="2"/>
  <c r="BC14" i="2" s="1"/>
  <c r="BB13" i="2"/>
  <c r="BC13" i="2" s="1"/>
  <c r="BB12" i="2"/>
  <c r="BC12" i="2" s="1"/>
  <c r="BB11" i="2"/>
  <c r="BC11" i="2" s="1"/>
  <c r="BB10" i="2"/>
  <c r="BC10" i="2" s="1"/>
  <c r="BB9" i="2"/>
  <c r="BC9" i="2" s="1"/>
  <c r="BB8" i="2"/>
  <c r="BC8" i="2" s="1"/>
  <c r="BB7" i="2"/>
  <c r="BC7" i="2" s="1"/>
  <c r="AV27" i="2"/>
  <c r="AW27" i="2" s="1"/>
  <c r="AV59" i="2"/>
  <c r="AW59" i="2" s="1"/>
  <c r="AV58" i="2"/>
  <c r="AW58" i="2" s="1"/>
  <c r="AV57" i="2"/>
  <c r="AW57" i="2" s="1"/>
  <c r="AV56" i="2"/>
  <c r="AW56" i="2" s="1"/>
  <c r="AV53" i="2"/>
  <c r="AW53" i="2" s="1"/>
  <c r="AV54" i="2"/>
  <c r="AW54" i="2" s="1"/>
  <c r="AV51" i="2"/>
  <c r="AW51" i="2" s="1"/>
  <c r="AV50" i="2"/>
  <c r="AW50" i="2" s="1"/>
  <c r="AV49" i="2"/>
  <c r="AW49" i="2" s="1"/>
  <c r="AV48" i="2"/>
  <c r="AW48" i="2" s="1"/>
  <c r="AV47" i="2"/>
  <c r="AW47" i="2" s="1"/>
  <c r="AV46" i="2"/>
  <c r="AW46" i="2" s="1"/>
  <c r="AV45" i="2"/>
  <c r="AW45" i="2" s="1"/>
  <c r="AV44" i="2"/>
  <c r="AW44" i="2" s="1"/>
  <c r="AV43" i="2"/>
  <c r="AW43" i="2" s="1"/>
  <c r="AV42" i="2"/>
  <c r="AW42" i="2" s="1"/>
  <c r="AV41" i="2"/>
  <c r="AW41" i="2" s="1"/>
  <c r="AV40" i="2"/>
  <c r="AW40" i="2" s="1"/>
  <c r="AV39" i="2"/>
  <c r="AW39" i="2" s="1"/>
  <c r="AV37" i="2"/>
  <c r="AW37" i="2" s="1"/>
  <c r="AV6" i="2"/>
  <c r="AW6" i="2" s="1"/>
  <c r="AV36" i="2"/>
  <c r="AW36" i="2" s="1"/>
  <c r="AV35" i="2"/>
  <c r="AW35" i="2" s="1"/>
  <c r="AV34" i="2"/>
  <c r="AW34" i="2" s="1"/>
  <c r="AV33" i="2"/>
  <c r="AW33" i="2" s="1"/>
  <c r="AV32" i="2"/>
  <c r="AW32" i="2" s="1"/>
  <c r="AV31" i="2"/>
  <c r="AW31" i="2" s="1"/>
  <c r="AV30" i="2"/>
  <c r="AW30" i="2" s="1"/>
  <c r="AV29" i="2"/>
  <c r="AW29" i="2" s="1"/>
  <c r="AV24" i="2"/>
  <c r="AW24" i="2" s="1"/>
  <c r="AV22" i="2"/>
  <c r="AW22" i="2" s="1"/>
  <c r="AV28" i="2"/>
  <c r="AW28" i="2" s="1"/>
  <c r="AV26" i="2"/>
  <c r="AW26" i="2" s="1"/>
  <c r="AV25" i="2"/>
  <c r="AW25" i="2" s="1"/>
  <c r="AV23" i="2"/>
  <c r="AW23" i="2" s="1"/>
  <c r="AV21" i="2"/>
  <c r="AW21" i="2" s="1"/>
  <c r="AV20" i="2"/>
  <c r="AW20" i="2" s="1"/>
  <c r="AV19" i="2"/>
  <c r="AW19" i="2" s="1"/>
  <c r="AV16" i="2"/>
  <c r="AW16" i="2" s="1"/>
  <c r="AV18" i="2"/>
  <c r="AW18" i="2" s="1"/>
  <c r="AV17" i="2"/>
  <c r="AW17" i="2" s="1"/>
  <c r="AV15" i="2"/>
  <c r="AW15" i="2" s="1"/>
  <c r="AV14" i="2"/>
  <c r="AW14" i="2" s="1"/>
  <c r="AV13" i="2"/>
  <c r="AW13" i="2" s="1"/>
  <c r="AV12" i="2"/>
  <c r="AW12" i="2" s="1"/>
  <c r="AV11" i="2"/>
  <c r="AW11" i="2" s="1"/>
  <c r="AV10" i="2"/>
  <c r="AW10" i="2" s="1"/>
  <c r="AV9" i="2"/>
  <c r="AW9" i="2" s="1"/>
  <c r="AV8" i="2"/>
  <c r="AW8" i="2" s="1"/>
  <c r="AV7" i="2"/>
  <c r="AW7" i="2" s="1"/>
  <c r="BA60" i="2"/>
  <c r="AZ60" i="2"/>
  <c r="BH60" i="2" s="1"/>
  <c r="BI60" i="2" s="1"/>
  <c r="BD59" i="2"/>
  <c r="BD58" i="2"/>
  <c r="BD57" i="2"/>
  <c r="BD56" i="2"/>
  <c r="BD53" i="2"/>
  <c r="BD51" i="2"/>
  <c r="BD50" i="2"/>
  <c r="BD49" i="2"/>
  <c r="BD48" i="2"/>
  <c r="BD47" i="2"/>
  <c r="BD46" i="2"/>
  <c r="BD45" i="2"/>
  <c r="BD44" i="2"/>
  <c r="BD43" i="2"/>
  <c r="BD42" i="2"/>
  <c r="BD41" i="2"/>
  <c r="BD40" i="2"/>
  <c r="BD39" i="2"/>
  <c r="BD37" i="2"/>
  <c r="BD6" i="2"/>
  <c r="BD36" i="2"/>
  <c r="BD35" i="2"/>
  <c r="BD34" i="2"/>
  <c r="BD33" i="2"/>
  <c r="BD32" i="2"/>
  <c r="BD31" i="2"/>
  <c r="BD30" i="2"/>
  <c r="BD29" i="2"/>
  <c r="BD24" i="2"/>
  <c r="BD22" i="2"/>
  <c r="BD26" i="2"/>
  <c r="BD25" i="2"/>
  <c r="BD23" i="2"/>
  <c r="BD21" i="2"/>
  <c r="BD20" i="2"/>
  <c r="BD19" i="2"/>
  <c r="BD16" i="2"/>
  <c r="BD18" i="2"/>
  <c r="BD17" i="2"/>
  <c r="BD15" i="2"/>
  <c r="BD14" i="2"/>
  <c r="BD13" i="2"/>
  <c r="BD12" i="2"/>
  <c r="BD11" i="2"/>
  <c r="BD10" i="2"/>
  <c r="BD9" i="2"/>
  <c r="BD8" i="2"/>
  <c r="BD7" i="2"/>
  <c r="BD5" i="2"/>
  <c r="BB5" i="2"/>
  <c r="BC5" i="2" s="1"/>
  <c r="AU60" i="2"/>
  <c r="AT60" i="2"/>
  <c r="AX59" i="2"/>
  <c r="AY59" i="2" s="1"/>
  <c r="AX58" i="2"/>
  <c r="AY58" i="2" s="1"/>
  <c r="AX57" i="2"/>
  <c r="AY57" i="2" s="1"/>
  <c r="AX56" i="2"/>
  <c r="AX53" i="2"/>
  <c r="AX54" i="2"/>
  <c r="AX51" i="2"/>
  <c r="AX50" i="2"/>
  <c r="AY50" i="2" s="1"/>
  <c r="AX49" i="2"/>
  <c r="AX48" i="2"/>
  <c r="AX47" i="2"/>
  <c r="AX46" i="2"/>
  <c r="AX45" i="2"/>
  <c r="AX44" i="2"/>
  <c r="AY44" i="2" s="1"/>
  <c r="AX43" i="2"/>
  <c r="AX42" i="2"/>
  <c r="AY42" i="2" s="1"/>
  <c r="AX41" i="2"/>
  <c r="AX40" i="2"/>
  <c r="AY40" i="2" s="1"/>
  <c r="AX39" i="2"/>
  <c r="AY39" i="2" s="1"/>
  <c r="AX37" i="2"/>
  <c r="AX6" i="2"/>
  <c r="AX36" i="2"/>
  <c r="AX35" i="2"/>
  <c r="AX34" i="2"/>
  <c r="AX33" i="2"/>
  <c r="AY33" i="2" s="1"/>
  <c r="AX32" i="2"/>
  <c r="AY32" i="2" s="1"/>
  <c r="AX31" i="2"/>
  <c r="AY31" i="2" s="1"/>
  <c r="AX30" i="2"/>
  <c r="AX29" i="2"/>
  <c r="AX24" i="2"/>
  <c r="AX22" i="2"/>
  <c r="AX28" i="2"/>
  <c r="AY28" i="2" s="1"/>
  <c r="AX26" i="2"/>
  <c r="AX25" i="2"/>
  <c r="AX23" i="2"/>
  <c r="AX21" i="2"/>
  <c r="AX20" i="2"/>
  <c r="AY20" i="2" s="1"/>
  <c r="AX19" i="2"/>
  <c r="AY19" i="2" s="1"/>
  <c r="AX16" i="2"/>
  <c r="AX18" i="2"/>
  <c r="AX17" i="2"/>
  <c r="AX15" i="2"/>
  <c r="AX14" i="2"/>
  <c r="AX13" i="2"/>
  <c r="AX12" i="2"/>
  <c r="AX11" i="2"/>
  <c r="AX10" i="2"/>
  <c r="AX9" i="2"/>
  <c r="AY9" i="2" s="1"/>
  <c r="AX8" i="2"/>
  <c r="AX7" i="2"/>
  <c r="AX5" i="2"/>
  <c r="AV5" i="2"/>
  <c r="AW5" i="2" s="1"/>
  <c r="BD60" i="2" l="1"/>
  <c r="BJ60" i="2"/>
  <c r="BK60" i="2" s="1"/>
  <c r="BB60" i="2"/>
  <c r="BC60" i="2" s="1"/>
  <c r="AP27" i="2"/>
  <c r="AQ27" i="2" s="1"/>
  <c r="AO60" i="2" l="1"/>
  <c r="AN60" i="2"/>
  <c r="AR59" i="2"/>
  <c r="AS59" i="2" s="1"/>
  <c r="AP59" i="2"/>
  <c r="AQ59" i="2" s="1"/>
  <c r="AR58" i="2"/>
  <c r="AS58" i="2" s="1"/>
  <c r="AP58" i="2"/>
  <c r="AQ58" i="2" s="1"/>
  <c r="AR57" i="2"/>
  <c r="AS57" i="2" s="1"/>
  <c r="AP57" i="2"/>
  <c r="AQ57" i="2" s="1"/>
  <c r="AR56" i="2"/>
  <c r="AP56" i="2"/>
  <c r="AQ56" i="2" s="1"/>
  <c r="AR55" i="2"/>
  <c r="AS55" i="2" s="1"/>
  <c r="AP55" i="2"/>
  <c r="AQ55" i="2" s="1"/>
  <c r="AR53" i="2"/>
  <c r="AP53" i="2"/>
  <c r="AQ53" i="2" s="1"/>
  <c r="AR54" i="2"/>
  <c r="AP54" i="2"/>
  <c r="AQ54" i="2" s="1"/>
  <c r="AR51" i="2"/>
  <c r="AS51" i="2" s="1"/>
  <c r="AP51" i="2"/>
  <c r="AQ51" i="2" s="1"/>
  <c r="AR50" i="2"/>
  <c r="AP50" i="2"/>
  <c r="AQ50" i="2" s="1"/>
  <c r="AR49" i="2"/>
  <c r="AP49" i="2"/>
  <c r="AQ49" i="2" s="1"/>
  <c r="AR48" i="2"/>
  <c r="AP48" i="2"/>
  <c r="AQ48" i="2" s="1"/>
  <c r="AR47" i="2"/>
  <c r="AS47" i="2" s="1"/>
  <c r="AP47" i="2"/>
  <c r="AQ47" i="2" s="1"/>
  <c r="AR46" i="2"/>
  <c r="AS46" i="2" s="1"/>
  <c r="AP46" i="2"/>
  <c r="AQ46" i="2" s="1"/>
  <c r="AR45" i="2"/>
  <c r="AP45" i="2"/>
  <c r="AQ45" i="2" s="1"/>
  <c r="AR44" i="2"/>
  <c r="AS44" i="2" s="1"/>
  <c r="AP44" i="2"/>
  <c r="AQ44" i="2" s="1"/>
  <c r="AR43" i="2"/>
  <c r="AP43" i="2"/>
  <c r="AQ43" i="2" s="1"/>
  <c r="AR42" i="2"/>
  <c r="AS42" i="2" s="1"/>
  <c r="AP42" i="2"/>
  <c r="AQ42" i="2" s="1"/>
  <c r="AR41" i="2"/>
  <c r="AP41" i="2"/>
  <c r="AQ41" i="2" s="1"/>
  <c r="AR40" i="2"/>
  <c r="AP40" i="2"/>
  <c r="AQ40" i="2" s="1"/>
  <c r="AR39" i="2"/>
  <c r="AS39" i="2" s="1"/>
  <c r="AP39" i="2"/>
  <c r="AQ39" i="2" s="1"/>
  <c r="AR38" i="2"/>
  <c r="AP38" i="2"/>
  <c r="AQ38" i="2" s="1"/>
  <c r="AR37" i="2"/>
  <c r="AP37" i="2"/>
  <c r="AQ37" i="2" s="1"/>
  <c r="AR6" i="2"/>
  <c r="AP6" i="2"/>
  <c r="AQ6" i="2" s="1"/>
  <c r="AR36" i="2"/>
  <c r="AP36" i="2"/>
  <c r="AQ36" i="2" s="1"/>
  <c r="AR35" i="2"/>
  <c r="AP35" i="2"/>
  <c r="AQ35" i="2" s="1"/>
  <c r="AR34" i="2"/>
  <c r="AP34" i="2"/>
  <c r="AQ34" i="2" s="1"/>
  <c r="AR33" i="2"/>
  <c r="AS33" i="2" s="1"/>
  <c r="AP33" i="2"/>
  <c r="AQ33" i="2" s="1"/>
  <c r="AR32" i="2"/>
  <c r="AS32" i="2" s="1"/>
  <c r="AP32" i="2"/>
  <c r="AQ32" i="2" s="1"/>
  <c r="AR31" i="2"/>
  <c r="AS31" i="2" s="1"/>
  <c r="AP31" i="2"/>
  <c r="AQ31" i="2" s="1"/>
  <c r="AR30" i="2"/>
  <c r="AS30" i="2" s="1"/>
  <c r="AP30" i="2"/>
  <c r="AQ30" i="2" s="1"/>
  <c r="AR29" i="2"/>
  <c r="AP29" i="2"/>
  <c r="AQ29" i="2" s="1"/>
  <c r="AR24" i="2"/>
  <c r="AP24" i="2"/>
  <c r="AQ24" i="2" s="1"/>
  <c r="AR22" i="2"/>
  <c r="AP22" i="2"/>
  <c r="AQ22" i="2" s="1"/>
  <c r="AR28" i="2"/>
  <c r="AS28" i="2" s="1"/>
  <c r="AP28" i="2"/>
  <c r="AQ28" i="2" s="1"/>
  <c r="AR26" i="2"/>
  <c r="AP26" i="2"/>
  <c r="AQ26" i="2" s="1"/>
  <c r="AR25" i="2"/>
  <c r="AP25" i="2"/>
  <c r="AQ25" i="2" s="1"/>
  <c r="AR23" i="2"/>
  <c r="AS23" i="2" s="1"/>
  <c r="AP23" i="2"/>
  <c r="AQ23" i="2" s="1"/>
  <c r="AR21" i="2"/>
  <c r="AS21" i="2" s="1"/>
  <c r="AP21" i="2"/>
  <c r="AQ21" i="2" s="1"/>
  <c r="AR20" i="2"/>
  <c r="AS20" i="2" s="1"/>
  <c r="AP20" i="2"/>
  <c r="AQ20" i="2" s="1"/>
  <c r="AR19" i="2"/>
  <c r="AS19" i="2" s="1"/>
  <c r="AP19" i="2"/>
  <c r="AQ19" i="2" s="1"/>
  <c r="AR16" i="2"/>
  <c r="AP16" i="2"/>
  <c r="AQ16" i="2" s="1"/>
  <c r="AR18" i="2"/>
  <c r="AP18" i="2"/>
  <c r="AQ18" i="2" s="1"/>
  <c r="AR17" i="2"/>
  <c r="AP17" i="2"/>
  <c r="AR15" i="2"/>
  <c r="AP15" i="2"/>
  <c r="AQ15" i="2" s="1"/>
  <c r="AR14" i="2"/>
  <c r="AP14" i="2"/>
  <c r="AQ14" i="2" s="1"/>
  <c r="AR13" i="2"/>
  <c r="AP13" i="2"/>
  <c r="AQ13" i="2" s="1"/>
  <c r="AR12" i="2"/>
  <c r="AP12" i="2"/>
  <c r="AQ12" i="2" s="1"/>
  <c r="AR11" i="2"/>
  <c r="AP11" i="2"/>
  <c r="AQ11" i="2" s="1"/>
  <c r="AR10" i="2"/>
  <c r="AP10" i="2"/>
  <c r="AQ10" i="2" s="1"/>
  <c r="AR9" i="2"/>
  <c r="AS9" i="2" s="1"/>
  <c r="AP9" i="2"/>
  <c r="AQ9" i="2" s="1"/>
  <c r="AR8" i="2"/>
  <c r="AP8" i="2"/>
  <c r="AQ8" i="2" s="1"/>
  <c r="AR7" i="2"/>
  <c r="AP7" i="2"/>
  <c r="AQ7" i="2" s="1"/>
  <c r="AR5" i="2"/>
  <c r="AS5" i="2" s="1"/>
  <c r="AP5" i="2"/>
  <c r="AQ5" i="2" s="1"/>
  <c r="AV60" i="2" l="1"/>
  <c r="AW60" i="2" s="1"/>
  <c r="AX60" i="2"/>
  <c r="AY60" i="2" s="1"/>
  <c r="AL59" i="2"/>
  <c r="AL58" i="2"/>
  <c r="AL57" i="2"/>
  <c r="AL56" i="2"/>
  <c r="AL55" i="2"/>
  <c r="AL53" i="2"/>
  <c r="AL54" i="2"/>
  <c r="AL51" i="2"/>
  <c r="AL50" i="2"/>
  <c r="AL49" i="2"/>
  <c r="AL48" i="2"/>
  <c r="AL47" i="2"/>
  <c r="AL46" i="2"/>
  <c r="AL45" i="2"/>
  <c r="AL44" i="2"/>
  <c r="AL43" i="2"/>
  <c r="AL41" i="2"/>
  <c r="AL40" i="2"/>
  <c r="AL39" i="2"/>
  <c r="AL38" i="2"/>
  <c r="AL37" i="2"/>
  <c r="AL6" i="2"/>
  <c r="AL36" i="2"/>
  <c r="AL35" i="2"/>
  <c r="AL34" i="2"/>
  <c r="AL33" i="2"/>
  <c r="AL32" i="2"/>
  <c r="AL31" i="2"/>
  <c r="AL30" i="2"/>
  <c r="AL29" i="2"/>
  <c r="AL24" i="2"/>
  <c r="AL22" i="2"/>
  <c r="AL28" i="2"/>
  <c r="AL26" i="2"/>
  <c r="AL25" i="2"/>
  <c r="AL23" i="2"/>
  <c r="AL21" i="2"/>
  <c r="AL20" i="2"/>
  <c r="AL19" i="2"/>
  <c r="AL16" i="2"/>
  <c r="AL18" i="2"/>
  <c r="AL17" i="2"/>
  <c r="AL15" i="2"/>
  <c r="AL14" i="2"/>
  <c r="AL13" i="2"/>
  <c r="AL12" i="2"/>
  <c r="AL11" i="2"/>
  <c r="AL10" i="2"/>
  <c r="AL9" i="2"/>
  <c r="AL8" i="2"/>
  <c r="AL7" i="2"/>
  <c r="AL5" i="2"/>
  <c r="AL42" i="2"/>
  <c r="AH60" i="2"/>
  <c r="AJ38" i="2"/>
  <c r="AK38" i="2" s="1"/>
  <c r="AI60" i="2"/>
  <c r="AL60" i="2" s="1"/>
  <c r="AJ59" i="2"/>
  <c r="AK59" i="2" s="1"/>
  <c r="AJ58" i="2"/>
  <c r="AK58" i="2" s="1"/>
  <c r="AJ57" i="2"/>
  <c r="AK57" i="2" s="1"/>
  <c r="AJ56" i="2"/>
  <c r="AK56" i="2" s="1"/>
  <c r="AJ55" i="2"/>
  <c r="AK55" i="2" s="1"/>
  <c r="AJ53" i="2"/>
  <c r="AK53" i="2" s="1"/>
  <c r="AJ54" i="2"/>
  <c r="AK54" i="2" s="1"/>
  <c r="AJ51" i="2"/>
  <c r="AK51" i="2" s="1"/>
  <c r="AJ50" i="2"/>
  <c r="AK50" i="2" s="1"/>
  <c r="AJ49" i="2"/>
  <c r="AK49" i="2" s="1"/>
  <c r="AJ48" i="2"/>
  <c r="AK48" i="2" s="1"/>
  <c r="AJ47" i="2"/>
  <c r="AK47" i="2" s="1"/>
  <c r="AJ46" i="2"/>
  <c r="AK46" i="2" s="1"/>
  <c r="AJ45" i="2"/>
  <c r="AK45" i="2" s="1"/>
  <c r="AJ44" i="2"/>
  <c r="AK44" i="2" s="1"/>
  <c r="AJ43" i="2"/>
  <c r="AK43" i="2" s="1"/>
  <c r="AJ42" i="2"/>
  <c r="AK42" i="2" s="1"/>
  <c r="AJ41" i="2"/>
  <c r="AK41" i="2" s="1"/>
  <c r="AJ40" i="2"/>
  <c r="AK40" i="2" s="1"/>
  <c r="AJ39" i="2"/>
  <c r="AK39" i="2" s="1"/>
  <c r="AJ37" i="2"/>
  <c r="AK37" i="2" s="1"/>
  <c r="AJ6" i="2"/>
  <c r="AK6" i="2" s="1"/>
  <c r="AJ36" i="2"/>
  <c r="AK36" i="2" s="1"/>
  <c r="AJ35" i="2"/>
  <c r="AK35" i="2" s="1"/>
  <c r="AJ34" i="2"/>
  <c r="AK34" i="2" s="1"/>
  <c r="AJ33" i="2"/>
  <c r="AK33" i="2" s="1"/>
  <c r="AJ32" i="2"/>
  <c r="AK32" i="2" s="1"/>
  <c r="AJ31" i="2"/>
  <c r="AK31" i="2" s="1"/>
  <c r="AJ30" i="2"/>
  <c r="AK30" i="2" s="1"/>
  <c r="AJ29" i="2"/>
  <c r="AK29" i="2" s="1"/>
  <c r="AJ24" i="2"/>
  <c r="AK24" i="2" s="1"/>
  <c r="AJ22" i="2"/>
  <c r="AK22" i="2" s="1"/>
  <c r="AJ28" i="2"/>
  <c r="AK28" i="2" s="1"/>
  <c r="AJ26" i="2"/>
  <c r="AK26" i="2" s="1"/>
  <c r="AJ25" i="2"/>
  <c r="AK25" i="2" s="1"/>
  <c r="AJ23" i="2"/>
  <c r="AK23" i="2" s="1"/>
  <c r="AJ21" i="2"/>
  <c r="AK21" i="2" s="1"/>
  <c r="AJ20" i="2"/>
  <c r="AK20" i="2" s="1"/>
  <c r="AJ19" i="2"/>
  <c r="AK19" i="2" s="1"/>
  <c r="AJ16" i="2"/>
  <c r="AK16" i="2" s="1"/>
  <c r="AJ18" i="2"/>
  <c r="AK18" i="2" s="1"/>
  <c r="AJ17" i="2"/>
  <c r="AJ15" i="2"/>
  <c r="AK15" i="2" s="1"/>
  <c r="AJ14" i="2"/>
  <c r="AK14" i="2" s="1"/>
  <c r="AJ13" i="2"/>
  <c r="AK13" i="2" s="1"/>
  <c r="AJ12" i="2"/>
  <c r="AK12" i="2" s="1"/>
  <c r="AJ11" i="2"/>
  <c r="AK11" i="2" s="1"/>
  <c r="AJ10" i="2"/>
  <c r="AK10" i="2" s="1"/>
  <c r="AJ9" i="2"/>
  <c r="AK9" i="2" s="1"/>
  <c r="AJ8" i="2"/>
  <c r="AK8" i="2" s="1"/>
  <c r="AJ7" i="2"/>
  <c r="AK7" i="2" s="1"/>
  <c r="AJ5" i="2"/>
  <c r="AK5" i="2" s="1"/>
  <c r="AP60" i="2" l="1"/>
  <c r="AQ60" i="2" s="1"/>
  <c r="AR60" i="2"/>
  <c r="AS60" i="2" s="1"/>
  <c r="AF60" i="2"/>
  <c r="AG60" i="2" s="1"/>
  <c r="AB60" i="2"/>
  <c r="AJ60" i="2" s="1"/>
  <c r="AK60" i="2" s="1"/>
  <c r="AF59" i="2"/>
  <c r="AG59" i="2" s="1"/>
  <c r="AD59" i="2"/>
  <c r="AE59" i="2" s="1"/>
  <c r="AF58" i="2"/>
  <c r="AG58" i="2" s="1"/>
  <c r="AD58" i="2"/>
  <c r="AE58" i="2" s="1"/>
  <c r="AF57" i="2"/>
  <c r="AG57" i="2" s="1"/>
  <c r="AD57" i="2"/>
  <c r="AE57" i="2" s="1"/>
  <c r="AD56" i="2"/>
  <c r="AE56" i="2" s="1"/>
  <c r="AF55" i="2"/>
  <c r="AG55" i="2" s="1"/>
  <c r="AD55" i="2"/>
  <c r="AE55" i="2" s="1"/>
  <c r="AD53" i="2"/>
  <c r="AE53" i="2" s="1"/>
  <c r="AD54" i="2"/>
  <c r="AD51" i="2"/>
  <c r="AE51" i="2" s="1"/>
  <c r="AD50" i="2"/>
  <c r="AE50" i="2" s="1"/>
  <c r="AD49" i="2"/>
  <c r="AE49" i="2" s="1"/>
  <c r="AD48" i="2"/>
  <c r="AE48" i="2" s="1"/>
  <c r="AD47" i="2"/>
  <c r="AE47" i="2" s="1"/>
  <c r="AF46" i="2"/>
  <c r="AG46" i="2" s="1"/>
  <c r="AD46" i="2"/>
  <c r="AE46" i="2" s="1"/>
  <c r="AF45" i="2"/>
  <c r="AG45" i="2" s="1"/>
  <c r="AD45" i="2"/>
  <c r="AE45" i="2" s="1"/>
  <c r="AD44" i="2"/>
  <c r="AE44" i="2" s="1"/>
  <c r="AF43" i="2"/>
  <c r="AG43" i="2" s="1"/>
  <c r="AD43" i="2"/>
  <c r="AE43" i="2" s="1"/>
  <c r="AD42" i="2"/>
  <c r="AE42" i="2" s="1"/>
  <c r="AD41" i="2"/>
  <c r="AE41" i="2" s="1"/>
  <c r="AD40" i="2"/>
  <c r="AE40" i="2" s="1"/>
  <c r="AD39" i="2"/>
  <c r="AE39" i="2" s="1"/>
  <c r="AD37" i="2"/>
  <c r="AE37" i="2" s="1"/>
  <c r="AD6" i="2"/>
  <c r="AE6" i="2" s="1"/>
  <c r="AD36" i="2"/>
  <c r="AE36" i="2" s="1"/>
  <c r="AD35" i="2"/>
  <c r="AE35" i="2" s="1"/>
  <c r="AD34" i="2"/>
  <c r="AE34" i="2" s="1"/>
  <c r="AF33" i="2"/>
  <c r="AG33" i="2" s="1"/>
  <c r="AD33" i="2"/>
  <c r="AE33" i="2" s="1"/>
  <c r="AF32" i="2"/>
  <c r="AG32" i="2" s="1"/>
  <c r="AD32" i="2"/>
  <c r="AE32" i="2" s="1"/>
  <c r="AF31" i="2"/>
  <c r="AG31" i="2" s="1"/>
  <c r="AD31" i="2"/>
  <c r="AE31" i="2" s="1"/>
  <c r="AF30" i="2"/>
  <c r="AD30" i="2"/>
  <c r="AE30" i="2" s="1"/>
  <c r="AD29" i="2"/>
  <c r="AE29" i="2" s="1"/>
  <c r="AD24" i="2"/>
  <c r="AE24" i="2" s="1"/>
  <c r="AD22" i="2"/>
  <c r="AE22" i="2" s="1"/>
  <c r="AF28" i="2"/>
  <c r="AG28" i="2" s="1"/>
  <c r="AD28" i="2"/>
  <c r="AE28" i="2" s="1"/>
  <c r="AD26" i="2"/>
  <c r="AE26" i="2" s="1"/>
  <c r="AD25" i="2"/>
  <c r="AE25" i="2" s="1"/>
  <c r="AD23" i="2"/>
  <c r="AE23" i="2" s="1"/>
  <c r="AF21" i="2"/>
  <c r="AG21" i="2" s="1"/>
  <c r="AD21" i="2"/>
  <c r="AE21" i="2" s="1"/>
  <c r="AD20" i="2"/>
  <c r="AE20" i="2" s="1"/>
  <c r="AD19" i="2"/>
  <c r="AE19" i="2" s="1"/>
  <c r="AD16" i="2"/>
  <c r="AE16" i="2" s="1"/>
  <c r="AD18" i="2"/>
  <c r="AE18" i="2" s="1"/>
  <c r="AF17" i="2"/>
  <c r="AG17" i="2" s="1"/>
  <c r="AD17" i="2"/>
  <c r="AE17" i="2" s="1"/>
  <c r="AD15" i="2"/>
  <c r="AE15" i="2" s="1"/>
  <c r="AD14" i="2"/>
  <c r="AE14" i="2" s="1"/>
  <c r="AD13" i="2"/>
  <c r="AE13" i="2" s="1"/>
  <c r="AD12" i="2"/>
  <c r="AE12" i="2" s="1"/>
  <c r="AD11" i="2"/>
  <c r="AE11" i="2" s="1"/>
  <c r="AD10" i="2"/>
  <c r="AE10" i="2" s="1"/>
  <c r="AD9" i="2"/>
  <c r="AE9" i="2" s="1"/>
  <c r="AD8" i="2"/>
  <c r="AE8" i="2" s="1"/>
  <c r="AD7" i="2"/>
  <c r="AE7" i="2" s="1"/>
  <c r="AD5" i="2"/>
  <c r="AE5" i="2" s="1"/>
  <c r="Z60" i="2" l="1"/>
  <c r="AA60" i="2" s="1"/>
  <c r="V60" i="2"/>
  <c r="X60" i="2" s="1"/>
  <c r="Y60" i="2" s="1"/>
  <c r="T60" i="2"/>
  <c r="U60" i="2" s="1"/>
  <c r="R60" i="2"/>
  <c r="S60" i="2" s="1"/>
  <c r="N60" i="2"/>
  <c r="O60" i="2" s="1"/>
  <c r="L60" i="2"/>
  <c r="M60" i="2" s="1"/>
  <c r="Z59" i="2"/>
  <c r="AA59" i="2" s="1"/>
  <c r="X59" i="2"/>
  <c r="Y59" i="2" s="1"/>
  <c r="T59" i="2"/>
  <c r="R59" i="2"/>
  <c r="S59" i="2" s="1"/>
  <c r="N59" i="2"/>
  <c r="O59" i="2" s="1"/>
  <c r="L59" i="2"/>
  <c r="M59" i="2" s="1"/>
  <c r="Z58" i="2"/>
  <c r="AA58" i="2" s="1"/>
  <c r="X58" i="2"/>
  <c r="Y58" i="2" s="1"/>
  <c r="T58" i="2"/>
  <c r="R58" i="2"/>
  <c r="S58" i="2" s="1"/>
  <c r="L58" i="2"/>
  <c r="M58" i="2" s="1"/>
  <c r="Z57" i="2"/>
  <c r="AA57" i="2" s="1"/>
  <c r="X57" i="2"/>
  <c r="Y57" i="2" s="1"/>
  <c r="T57" i="2"/>
  <c r="U57" i="2" s="1"/>
  <c r="R57" i="2"/>
  <c r="S57" i="2" s="1"/>
  <c r="N57" i="2"/>
  <c r="O57" i="2" s="1"/>
  <c r="L57" i="2"/>
  <c r="M57" i="2" s="1"/>
  <c r="Z56" i="2"/>
  <c r="AA56" i="2" s="1"/>
  <c r="X56" i="2"/>
  <c r="Y56" i="2" s="1"/>
  <c r="T56" i="2"/>
  <c r="R56" i="2"/>
  <c r="S56" i="2" s="1"/>
  <c r="N56" i="2"/>
  <c r="O56" i="2" s="1"/>
  <c r="L56" i="2"/>
  <c r="M56" i="2" s="1"/>
  <c r="Z55" i="2"/>
  <c r="AA55" i="2" s="1"/>
  <c r="X55" i="2"/>
  <c r="Y55" i="2" s="1"/>
  <c r="T55" i="2"/>
  <c r="R55" i="2"/>
  <c r="S55" i="2" s="1"/>
  <c r="L55" i="2"/>
  <c r="M55" i="2" s="1"/>
  <c r="X53" i="2"/>
  <c r="Y53" i="2" s="1"/>
  <c r="R53" i="2"/>
  <c r="S53" i="2" s="1"/>
  <c r="L53" i="2"/>
  <c r="M53" i="2" s="1"/>
  <c r="X54" i="2"/>
  <c r="N52" i="2"/>
  <c r="O52" i="2" s="1"/>
  <c r="L52" i="2"/>
  <c r="M52" i="2" s="1"/>
  <c r="X51" i="2"/>
  <c r="Y51" i="2" s="1"/>
  <c r="R51" i="2"/>
  <c r="S51" i="2" s="1"/>
  <c r="L51" i="2"/>
  <c r="M51" i="2" s="1"/>
  <c r="X50" i="2"/>
  <c r="Y50" i="2" s="1"/>
  <c r="R50" i="2"/>
  <c r="S50" i="2" s="1"/>
  <c r="L50" i="2"/>
  <c r="M50" i="2" s="1"/>
  <c r="X49" i="2"/>
  <c r="Y49" i="2" s="1"/>
  <c r="R49" i="2"/>
  <c r="S49" i="2" s="1"/>
  <c r="N49" i="2"/>
  <c r="O49" i="2" s="1"/>
  <c r="L49" i="2"/>
  <c r="M49" i="2" s="1"/>
  <c r="Z48" i="2"/>
  <c r="AA48" i="2" s="1"/>
  <c r="X48" i="2"/>
  <c r="Y48" i="2" s="1"/>
  <c r="T48" i="2"/>
  <c r="U48" i="2" s="1"/>
  <c r="R48" i="2"/>
  <c r="S48" i="2" s="1"/>
  <c r="N48" i="2"/>
  <c r="O48" i="2" s="1"/>
  <c r="L48" i="2"/>
  <c r="M48" i="2" s="1"/>
  <c r="Z47" i="2"/>
  <c r="AA47" i="2" s="1"/>
  <c r="X47" i="2"/>
  <c r="Y47" i="2" s="1"/>
  <c r="T47" i="2"/>
  <c r="U47" i="2" s="1"/>
  <c r="R47" i="2"/>
  <c r="S47" i="2" s="1"/>
  <c r="N47" i="2"/>
  <c r="O47" i="2" s="1"/>
  <c r="L47" i="2"/>
  <c r="M47" i="2" s="1"/>
  <c r="Z46" i="2"/>
  <c r="AA46" i="2" s="1"/>
  <c r="X46" i="2"/>
  <c r="Y46" i="2" s="1"/>
  <c r="T46" i="2"/>
  <c r="U46" i="2" s="1"/>
  <c r="R46" i="2"/>
  <c r="S46" i="2" s="1"/>
  <c r="N46" i="2"/>
  <c r="O46" i="2" s="1"/>
  <c r="L46" i="2"/>
  <c r="M46" i="2" s="1"/>
  <c r="Z45" i="2"/>
  <c r="AA45" i="2" s="1"/>
  <c r="X45" i="2"/>
  <c r="Y45" i="2" s="1"/>
  <c r="T45" i="2"/>
  <c r="U45" i="2" s="1"/>
  <c r="R45" i="2"/>
  <c r="S45" i="2" s="1"/>
  <c r="N45" i="2"/>
  <c r="O45" i="2" s="1"/>
  <c r="L45" i="2"/>
  <c r="M45" i="2" s="1"/>
  <c r="Z44" i="2"/>
  <c r="AA44" i="2" s="1"/>
  <c r="X44" i="2"/>
  <c r="Y44" i="2" s="1"/>
  <c r="T44" i="2"/>
  <c r="U44" i="2" s="1"/>
  <c r="R44" i="2"/>
  <c r="S44" i="2" s="1"/>
  <c r="N44" i="2"/>
  <c r="O44" i="2" s="1"/>
  <c r="L44" i="2"/>
  <c r="M44" i="2" s="1"/>
  <c r="Z43" i="2"/>
  <c r="AA43" i="2" s="1"/>
  <c r="X43" i="2"/>
  <c r="Y43" i="2" s="1"/>
  <c r="T43" i="2"/>
  <c r="R43" i="2"/>
  <c r="S43" i="2" s="1"/>
  <c r="N43" i="2"/>
  <c r="O43" i="2" s="1"/>
  <c r="L43" i="2"/>
  <c r="M43" i="2" s="1"/>
  <c r="X42" i="2"/>
  <c r="Y42" i="2" s="1"/>
  <c r="R42" i="2"/>
  <c r="S42" i="2" s="1"/>
  <c r="L42" i="2"/>
  <c r="M42" i="2" s="1"/>
  <c r="Z41" i="2"/>
  <c r="AA41" i="2" s="1"/>
  <c r="X41" i="2"/>
  <c r="Y41" i="2" s="1"/>
  <c r="T41" i="2"/>
  <c r="R41" i="2"/>
  <c r="S41" i="2" s="1"/>
  <c r="N41" i="2"/>
  <c r="O41" i="2" s="1"/>
  <c r="L41" i="2"/>
  <c r="M41" i="2" s="1"/>
  <c r="Z40" i="2"/>
  <c r="AA40" i="2" s="1"/>
  <c r="X40" i="2"/>
  <c r="Y40" i="2" s="1"/>
  <c r="T40" i="2"/>
  <c r="U40" i="2" s="1"/>
  <c r="R40" i="2"/>
  <c r="S40" i="2" s="1"/>
  <c r="N40" i="2"/>
  <c r="O40" i="2" s="1"/>
  <c r="L40" i="2"/>
  <c r="M40" i="2" s="1"/>
  <c r="Z39" i="2"/>
  <c r="AA39" i="2" s="1"/>
  <c r="X39" i="2"/>
  <c r="Y39" i="2" s="1"/>
  <c r="T39" i="2"/>
  <c r="R39" i="2"/>
  <c r="S39" i="2" s="1"/>
  <c r="N39" i="2"/>
  <c r="O39" i="2" s="1"/>
  <c r="L39" i="2"/>
  <c r="M39" i="2" s="1"/>
  <c r="X37" i="2"/>
  <c r="Y37" i="2" s="1"/>
  <c r="R37" i="2"/>
  <c r="S37" i="2" s="1"/>
  <c r="L37" i="2"/>
  <c r="M37" i="2" s="1"/>
  <c r="X6" i="2"/>
  <c r="Y6" i="2" s="1"/>
  <c r="R6" i="2"/>
  <c r="S6" i="2" s="1"/>
  <c r="L6" i="2"/>
  <c r="M6" i="2" s="1"/>
  <c r="Z36" i="2"/>
  <c r="AA36" i="2" s="1"/>
  <c r="X36" i="2"/>
  <c r="Y36" i="2" s="1"/>
  <c r="T36" i="2"/>
  <c r="R36" i="2"/>
  <c r="S36" i="2" s="1"/>
  <c r="L36" i="2"/>
  <c r="M36" i="2" s="1"/>
  <c r="X35" i="2"/>
  <c r="Y35" i="2" s="1"/>
  <c r="R35" i="2"/>
  <c r="S35" i="2" s="1"/>
  <c r="L35" i="2"/>
  <c r="M35" i="2" s="1"/>
  <c r="X34" i="2"/>
  <c r="Y34" i="2" s="1"/>
  <c r="R34" i="2"/>
  <c r="S34" i="2" s="1"/>
  <c r="L34" i="2"/>
  <c r="M34" i="2" s="1"/>
  <c r="Z33" i="2"/>
  <c r="AA33" i="2" s="1"/>
  <c r="X33" i="2"/>
  <c r="Y33" i="2" s="1"/>
  <c r="T33" i="2"/>
  <c r="R33" i="2"/>
  <c r="S33" i="2" s="1"/>
  <c r="N33" i="2"/>
  <c r="O33" i="2" s="1"/>
  <c r="L33" i="2"/>
  <c r="M33" i="2" s="1"/>
  <c r="Z32" i="2"/>
  <c r="AA32" i="2" s="1"/>
  <c r="X32" i="2"/>
  <c r="Y32" i="2" s="1"/>
  <c r="T32" i="2"/>
  <c r="R32" i="2"/>
  <c r="S32" i="2" s="1"/>
  <c r="N32" i="2"/>
  <c r="O32" i="2" s="1"/>
  <c r="L32" i="2"/>
  <c r="M32" i="2" s="1"/>
  <c r="Z31" i="2"/>
  <c r="AA31" i="2" s="1"/>
  <c r="X31" i="2"/>
  <c r="Y31" i="2" s="1"/>
  <c r="T31" i="2"/>
  <c r="U31" i="2" s="1"/>
  <c r="R31" i="2"/>
  <c r="S31" i="2" s="1"/>
  <c r="N31" i="2"/>
  <c r="O31" i="2" s="1"/>
  <c r="L31" i="2"/>
  <c r="M31" i="2" s="1"/>
  <c r="Z30" i="2"/>
  <c r="X30" i="2"/>
  <c r="Y30" i="2" s="1"/>
  <c r="T30" i="2"/>
  <c r="U30" i="2" s="1"/>
  <c r="R30" i="2"/>
  <c r="S30" i="2" s="1"/>
  <c r="N30" i="2"/>
  <c r="O30" i="2" s="1"/>
  <c r="L30" i="2"/>
  <c r="M30" i="2" s="1"/>
  <c r="X29" i="2"/>
  <c r="Y29" i="2" s="1"/>
  <c r="R29" i="2"/>
  <c r="S29" i="2" s="1"/>
  <c r="L29" i="2"/>
  <c r="M29" i="2" s="1"/>
  <c r="X24" i="2"/>
  <c r="Y24" i="2" s="1"/>
  <c r="R24" i="2"/>
  <c r="L24" i="2"/>
  <c r="X22" i="2"/>
  <c r="Y22" i="2" s="1"/>
  <c r="R22" i="2"/>
  <c r="L22" i="2"/>
  <c r="Z28" i="2"/>
  <c r="AA28" i="2" s="1"/>
  <c r="X28" i="2"/>
  <c r="Y28" i="2" s="1"/>
  <c r="T28" i="2"/>
  <c r="R28" i="2"/>
  <c r="S28" i="2" s="1"/>
  <c r="L28" i="2"/>
  <c r="M28" i="2" s="1"/>
  <c r="X26" i="2"/>
  <c r="Y26" i="2" s="1"/>
  <c r="R26" i="2"/>
  <c r="S26" i="2" s="1"/>
  <c r="L26" i="2"/>
  <c r="M26" i="2" s="1"/>
  <c r="X25" i="2"/>
  <c r="Y25" i="2" s="1"/>
  <c r="R25" i="2"/>
  <c r="S25" i="2" s="1"/>
  <c r="L25" i="2"/>
  <c r="M25" i="2" s="1"/>
  <c r="X23" i="2"/>
  <c r="Y23" i="2" s="1"/>
  <c r="R23" i="2"/>
  <c r="S23" i="2" s="1"/>
  <c r="L23" i="2"/>
  <c r="M23" i="2" s="1"/>
  <c r="Z21" i="2"/>
  <c r="AA21" i="2" s="1"/>
  <c r="X21" i="2"/>
  <c r="Y21" i="2" s="1"/>
  <c r="T21" i="2"/>
  <c r="R21" i="2"/>
  <c r="S21" i="2" s="1"/>
  <c r="N21" i="2"/>
  <c r="O21" i="2" s="1"/>
  <c r="L21" i="2"/>
  <c r="M21" i="2" s="1"/>
  <c r="Z20" i="2"/>
  <c r="AA20" i="2" s="1"/>
  <c r="X20" i="2"/>
  <c r="Y20" i="2" s="1"/>
  <c r="T20" i="2"/>
  <c r="U20" i="2" s="1"/>
  <c r="R20" i="2"/>
  <c r="S20" i="2" s="1"/>
  <c r="N20" i="2"/>
  <c r="O20" i="2" s="1"/>
  <c r="L20" i="2"/>
  <c r="M20" i="2" s="1"/>
  <c r="X19" i="2"/>
  <c r="Y19" i="2" s="1"/>
  <c r="R19" i="2"/>
  <c r="S19" i="2" s="1"/>
  <c r="L19" i="2"/>
  <c r="M19" i="2" s="1"/>
  <c r="Z16" i="2"/>
  <c r="AA16" i="2" s="1"/>
  <c r="X16" i="2"/>
  <c r="Y16" i="2" s="1"/>
  <c r="T16" i="2"/>
  <c r="R16" i="2"/>
  <c r="S16" i="2" s="1"/>
  <c r="L16" i="2"/>
  <c r="M16" i="2" s="1"/>
  <c r="X18" i="2"/>
  <c r="Y18" i="2" s="1"/>
  <c r="R18" i="2"/>
  <c r="S18" i="2" s="1"/>
  <c r="L18" i="2"/>
  <c r="M18" i="2" s="1"/>
  <c r="Z17" i="2"/>
  <c r="X17" i="2"/>
  <c r="Y17" i="2" s="1"/>
  <c r="R17" i="2"/>
  <c r="S17" i="2" s="1"/>
  <c r="L17" i="2"/>
  <c r="M17" i="2" s="1"/>
  <c r="X15" i="2"/>
  <c r="Y15" i="2" s="1"/>
  <c r="R15" i="2"/>
  <c r="S15" i="2" s="1"/>
  <c r="L15" i="2"/>
  <c r="M15" i="2" s="1"/>
  <c r="X14" i="2"/>
  <c r="Y14" i="2" s="1"/>
  <c r="R14" i="2"/>
  <c r="S14" i="2" s="1"/>
  <c r="L14" i="2"/>
  <c r="M14" i="2" s="1"/>
  <c r="X13" i="2"/>
  <c r="Y13" i="2" s="1"/>
  <c r="R13" i="2"/>
  <c r="S13" i="2" s="1"/>
  <c r="L13" i="2"/>
  <c r="M13" i="2" s="1"/>
  <c r="X12" i="2"/>
  <c r="Y12" i="2" s="1"/>
  <c r="R12" i="2"/>
  <c r="S12" i="2" s="1"/>
  <c r="L12" i="2"/>
  <c r="M12" i="2" s="1"/>
  <c r="X11" i="2"/>
  <c r="Y11" i="2" s="1"/>
  <c r="R11" i="2"/>
  <c r="S11" i="2" s="1"/>
  <c r="L11" i="2"/>
  <c r="M11" i="2" s="1"/>
  <c r="X10" i="2"/>
  <c r="Y10" i="2" s="1"/>
  <c r="R10" i="2"/>
  <c r="S10" i="2" s="1"/>
  <c r="L10" i="2"/>
  <c r="M10" i="2" s="1"/>
  <c r="X9" i="2"/>
  <c r="Y9" i="2" s="1"/>
  <c r="R9" i="2"/>
  <c r="S9" i="2" s="1"/>
  <c r="L9" i="2"/>
  <c r="M9" i="2" s="1"/>
  <c r="X8" i="2"/>
  <c r="Y8" i="2" s="1"/>
  <c r="R8" i="2"/>
  <c r="S8" i="2" s="1"/>
  <c r="L8" i="2"/>
  <c r="M8" i="2" s="1"/>
  <c r="X7" i="2"/>
  <c r="Y7" i="2" s="1"/>
  <c r="R7" i="2"/>
  <c r="S7" i="2" s="1"/>
  <c r="L7" i="2"/>
  <c r="M7" i="2" s="1"/>
  <c r="Z5" i="2"/>
  <c r="AA5" i="2" s="1"/>
  <c r="X5" i="2"/>
  <c r="Y5" i="2" s="1"/>
  <c r="T5" i="2"/>
  <c r="R5" i="2"/>
  <c r="S5" i="2" s="1"/>
  <c r="L5" i="2"/>
  <c r="M5" i="2" s="1"/>
  <c r="AD60" i="2" l="1"/>
  <c r="AE60" i="2" s="1"/>
</calcChain>
</file>

<file path=xl/sharedStrings.xml><?xml version="1.0" encoding="utf-8"?>
<sst xmlns="http://schemas.openxmlformats.org/spreadsheetml/2006/main" count="184" uniqueCount="79">
  <si>
    <t>медицинская организация</t>
  </si>
  <si>
    <t>кредиторская задолженность по состоянию на 01.07.2019</t>
  </si>
  <si>
    <t>кредиторская задолженность по состоянию на 01.10.2019</t>
  </si>
  <si>
    <t>изменения (+рост/-снижение)</t>
  </si>
  <si>
    <t>кредиторская задолженность по состоянию на 01.01.2020</t>
  </si>
  <si>
    <t>кредиторская задолженность по состоянию на 01.07.2020</t>
  </si>
  <si>
    <t>кредиторская задолженность по состоянию на 01.10.2020</t>
  </si>
  <si>
    <t>общей Σ кредиторской задолженности</t>
  </si>
  <si>
    <t>в том числе просроченная кредиторская задолженности</t>
  </si>
  <si>
    <t>Σ задолженности, млн.₽ - всего</t>
  </si>
  <si>
    <t>из них просроченная</t>
  </si>
  <si>
    <t>в млн.₽</t>
  </si>
  <si>
    <t>в %</t>
  </si>
  <si>
    <t xml:space="preserve"> ГБУЗ АО "Архангельская областная клиническая станция скорой медицинской помощи"</t>
  </si>
  <si>
    <t>ГАУЗ АО "Архангельская детская стоматологическая поликлиника"</t>
  </si>
  <si>
    <t>ГАУЗ АО "Архангельская клиническая офтальмологическая больница"</t>
  </si>
  <si>
    <t>ГАУЗ АО "Архангельская областная клиническая стоматологическая поликлиника"</t>
  </si>
  <si>
    <t>ГАУЗ АО "Архангельский клинический кожно-венерологический диспансер"</t>
  </si>
  <si>
    <t>ГАУЗ АО "Вельская стоматологическая поликлиника"</t>
  </si>
  <si>
    <t>ГАУЗ АО "Коряжемская стоматологическая поликлиника"</t>
  </si>
  <si>
    <t>ГАУЗ АО "Котласская городская стоматологическая поликлиника"</t>
  </si>
  <si>
    <t>ГАУЗ АО "Северодвинская стоматологическая поликлиника"</t>
  </si>
  <si>
    <t>ГБУЗ АО "Архангельская городская детская клиническая поликлиника"</t>
  </si>
  <si>
    <t>ГБУЗ АО "Архангельская городская клиническая больница № 6"</t>
  </si>
  <si>
    <t>ГБУЗ АО "Архангельская городская клиническая больница № 7"</t>
  </si>
  <si>
    <t>ГБУЗ АО "Архангельская городская клиническая поликлиника № 1"</t>
  </si>
  <si>
    <t>ГБУЗ АО "Архангельская городская клиническая поликлиника № 2"</t>
  </si>
  <si>
    <t>ГБУЗ АО "Архангельская детская клиническая больница им. П.Г. Выжлецова"</t>
  </si>
  <si>
    <t>ГБУЗ АО "Архангельская областная клиническая больница"</t>
  </si>
  <si>
    <t>ГБУЗ АО "Архангельский госпиталь для ветеранов войн"</t>
  </si>
  <si>
    <t>ГБУЗ АО "Архангельский клинический онкологический диспансер"</t>
  </si>
  <si>
    <t>ГБУЗ АО "Архангельский клинический родильный дом им. К.Н. Самойловой"</t>
  </si>
  <si>
    <t>ГБУЗ АО "Архангельская клиническая психиатрическая больница"</t>
  </si>
  <si>
    <t>ГБУЗ АО "Архангельская станция переливания крови"</t>
  </si>
  <si>
    <t>ГБУЗ АО "Архангельский центр лечебной физкультуры и спортивной медицины"</t>
  </si>
  <si>
    <t>ГБУЗ АО "Вельская центральная районная больница"</t>
  </si>
  <si>
    <t>ГБУЗ АО "Верхнетоемская центральная районная больница"</t>
  </si>
  <si>
    <t>ГБУЗ АО "Виноградовская центральная районная больница"</t>
  </si>
  <si>
    <t>ГБУЗ АО "Ильинская центральная районная больница"</t>
  </si>
  <si>
    <t>ГБУЗ АО "Каргопольская центральная районная больница имени Н.Д. Кировой"</t>
  </si>
  <si>
    <t>ГБУЗ АО "Карпогорская центральная районная больница"</t>
  </si>
  <si>
    <t>ГБУЗ АО "Коношская центральная районная больница"</t>
  </si>
  <si>
    <t xml:space="preserve"> ГБУЗ АО "Коряжемская городская больница"</t>
  </si>
  <si>
    <t>ГБУЗ АО "Котласская центральная городская больница имени святителя Луки (В.Ф. Войно-Ясенецкого)"</t>
  </si>
  <si>
    <t>ГБУЗ АО "Красноборская центральная районная больница"</t>
  </si>
  <si>
    <t>ГБУЗ АО "Лешуконская центральная районная больница"</t>
  </si>
  <si>
    <t>ГБУЗ АО "Мезенская центральная районная больница"</t>
  </si>
  <si>
    <t>ГБУЗ АО "Мирнинская центральная городская больница"</t>
  </si>
  <si>
    <t>ГБУЗ АО "Новодвинская центральная городская больница"</t>
  </si>
  <si>
    <t>ГБУЗ АО "Няндомская центральная районная больница"</t>
  </si>
  <si>
    <t>ГБУЗ АО "Онежская центральная районная больница"</t>
  </si>
  <si>
    <t>ГБУЗ АО "Первая городская клиническая больница имени Е.Е. Волосевич"</t>
  </si>
  <si>
    <t>ГБУЗ АО "Плесецкая центральная районная больница"</t>
  </si>
  <si>
    <t>ГБУЗ АО "Приморская центральная районная больница"</t>
  </si>
  <si>
    <t>ГБУЗ АО "Северодвинска городская клиническая больница № 2 скорой медицинской помощи"</t>
  </si>
  <si>
    <t>ГБУЗ АО "Северодвинская городская больница № 1"</t>
  </si>
  <si>
    <t>ГБУЗ АО "Северодвинская городская детская клиническая больница"</t>
  </si>
  <si>
    <t>ГБУЗ АО "Северодвинская городская поликлиника "Ягры"</t>
  </si>
  <si>
    <t>ГБУЗ АО "Северодвинский психоневрологический диспансер""</t>
  </si>
  <si>
    <t>ГБУЗ АО "Северодвинская станция скорой медицинской помощи"</t>
  </si>
  <si>
    <t>ГБУЗ АО "Северодвинский родильный дом"</t>
  </si>
  <si>
    <t>ГБУЗ АО "Устьянская центральная районная больница"</t>
  </si>
  <si>
    <t>ГБУЗ АО "Холмогорская центральная районная больница"</t>
  </si>
  <si>
    <t>ГБУЗ АО "Шенкурская центральная районная больница им. Н.Н. Приорова"</t>
  </si>
  <si>
    <t>ГБУЗ АО "Яренская центральная районная больница"</t>
  </si>
  <si>
    <t>Итого</t>
  </si>
  <si>
    <t>кредиторская задолженность по состоянию на 01.01.2021</t>
  </si>
  <si>
    <t>ГБУЗ АО "Архангельская городская клиническая больница № 4"</t>
  </si>
  <si>
    <t>ГБУЗ АО "Котласский психоневрологический диспансер"</t>
  </si>
  <si>
    <t>кредиторская задолженность по состоянию на 01.07.2021</t>
  </si>
  <si>
    <t>ГБУЗ АО "Архангельский клинический противотуберкулезный диспенсер"</t>
  </si>
  <si>
    <t>кредиторская задолженность по состоянию на 01.10.2021</t>
  </si>
  <si>
    <t>кредиторская задолженность по состоянию на 01.01.2022</t>
  </si>
  <si>
    <t>кредиторская задолженность по состоянию на 01.07.2022</t>
  </si>
  <si>
    <t>кредиторская задолженность по состоянию на 01.10.2022</t>
  </si>
  <si>
    <t>кредиторская задолженность по состоянию на 01.07.2023</t>
  </si>
  <si>
    <t>кредиторская задолженность по состоянию на 01.01.2023 (по данным годового отчета)</t>
  </si>
  <si>
    <t>кредиторская задолженность по состоянию на 01.01.2023 (по данным отчета на 01.07.2023)</t>
  </si>
  <si>
    <t>приложение № 1 к заключению контрольно-счетной счетной палаты Архангельской области от 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</si>
</sst>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horizontal="right" vertical="top"/>
    </xf>
    <xf numFmtId="164" fontId="5" fillId="2" borderId="4" xfId="0" applyNumberFormat="1" applyFont="1" applyFill="1" applyBorder="1" applyAlignment="1">
      <alignment horizontal="right" vertical="top"/>
    </xf>
    <xf numFmtId="164" fontId="5" fillId="2" borderId="4" xfId="0" applyNumberFormat="1" applyFont="1" applyFill="1" applyBorder="1" applyAlignment="1">
      <alignment horizontal="right" vertical="top" wrapText="1"/>
    </xf>
    <xf numFmtId="10" fontId="5" fillId="2" borderId="4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0" fontId="4" fillId="0" borderId="4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5" fillId="2" borderId="1" xfId="0" applyFont="1" applyFill="1" applyBorder="1" applyAlignment="1">
      <alignment vertical="top" wrapText="1"/>
    </xf>
    <xf numFmtId="164" fontId="5" fillId="2" borderId="5" xfId="0" applyNumberFormat="1" applyFont="1" applyFill="1" applyBorder="1" applyAlignment="1">
      <alignment horizontal="right" vertical="top"/>
    </xf>
    <xf numFmtId="164" fontId="5" fillId="2" borderId="6" xfId="0" applyNumberFormat="1" applyFont="1" applyFill="1" applyBorder="1" applyAlignment="1">
      <alignment horizontal="right" vertical="top"/>
    </xf>
    <xf numFmtId="164" fontId="5" fillId="2" borderId="6" xfId="0" applyNumberFormat="1" applyFont="1" applyFill="1" applyBorder="1" applyAlignment="1">
      <alignment horizontal="right" vertical="top" wrapText="1"/>
    </xf>
    <xf numFmtId="10" fontId="5" fillId="2" borderId="6" xfId="0" applyNumberFormat="1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right" vertical="top"/>
    </xf>
    <xf numFmtId="164" fontId="4" fillId="0" borderId="6" xfId="0" applyNumberFormat="1" applyFont="1" applyBorder="1" applyAlignment="1">
      <alignment horizontal="right" vertical="top"/>
    </xf>
    <xf numFmtId="10" fontId="4" fillId="0" borderId="6" xfId="0" applyNumberFormat="1" applyFont="1" applyBorder="1" applyAlignment="1">
      <alignment horizontal="right" vertical="top"/>
    </xf>
    <xf numFmtId="0" fontId="4" fillId="2" borderId="1" xfId="0" applyFont="1" applyFill="1" applyBorder="1" applyAlignment="1">
      <alignment vertical="top"/>
    </xf>
    <xf numFmtId="0" fontId="0" fillId="0" borderId="0" xfId="0" applyAlignment="1">
      <alignment horizontal="right" vertical="top"/>
    </xf>
    <xf numFmtId="10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0" fontId="0" fillId="0" borderId="0" xfId="0" applyNumberFormat="1"/>
    <xf numFmtId="10" fontId="4" fillId="0" borderId="0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top"/>
    </xf>
    <xf numFmtId="10" fontId="0" fillId="0" borderId="0" xfId="0" applyNumberForma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top"/>
    </xf>
    <xf numFmtId="0" fontId="4" fillId="0" borderId="0" xfId="0" applyFont="1" applyFill="1" applyAlignment="1">
      <alignment vertical="top"/>
    </xf>
    <xf numFmtId="0" fontId="0" fillId="0" borderId="0" xfId="0" applyFill="1"/>
    <xf numFmtId="10" fontId="0" fillId="0" borderId="0" xfId="0" applyNumberForma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top"/>
    </xf>
    <xf numFmtId="164" fontId="1" fillId="0" borderId="0" xfId="0" applyNumberFormat="1" applyFont="1" applyBorder="1" applyAlignment="1">
      <alignment horizontal="right" vertical="top"/>
    </xf>
    <xf numFmtId="164" fontId="0" fillId="0" borderId="0" xfId="0" applyNumberFormat="1" applyBorder="1" applyAlignment="1">
      <alignment horizontal="right" vertical="top"/>
    </xf>
    <xf numFmtId="10" fontId="0" fillId="0" borderId="0" xfId="0" applyNumberFormat="1" applyBorder="1" applyAlignment="1">
      <alignment horizontal="right" vertical="top"/>
    </xf>
    <xf numFmtId="164" fontId="0" fillId="0" borderId="0" xfId="0" applyNumberForma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164" fontId="4" fillId="0" borderId="0" xfId="0" applyNumberFormat="1" applyFont="1" applyBorder="1" applyAlignment="1">
      <alignment horizontal="right" vertical="top"/>
    </xf>
    <xf numFmtId="0" fontId="0" fillId="0" borderId="0" xfId="0" applyBorder="1"/>
    <xf numFmtId="10" fontId="0" fillId="0" borderId="0" xfId="0" applyNumberFormat="1" applyBorder="1"/>
    <xf numFmtId="164" fontId="6" fillId="0" borderId="0" xfId="0" applyNumberFormat="1" applyFont="1" applyBorder="1"/>
    <xf numFmtId="164" fontId="0" fillId="0" borderId="0" xfId="0" applyNumberFormat="1" applyBorder="1"/>
    <xf numFmtId="10" fontId="0" fillId="0" borderId="0" xfId="0" applyNumberFormat="1" applyBorder="1" applyAlignment="1">
      <alignment vertical="top"/>
    </xf>
    <xf numFmtId="0" fontId="6" fillId="0" borderId="0" xfId="0" applyFont="1" applyBorder="1"/>
    <xf numFmtId="0" fontId="3" fillId="3" borderId="1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right" vertical="top"/>
    </xf>
    <xf numFmtId="164" fontId="4" fillId="3" borderId="6" xfId="0" applyNumberFormat="1" applyFont="1" applyFill="1" applyBorder="1" applyAlignment="1">
      <alignment horizontal="right" vertical="top"/>
    </xf>
    <xf numFmtId="164" fontId="5" fillId="3" borderId="6" xfId="0" applyNumberFormat="1" applyFont="1" applyFill="1" applyBorder="1" applyAlignment="1">
      <alignment horizontal="right" vertical="top"/>
    </xf>
    <xf numFmtId="10" fontId="6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7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9"/>
  <sheetViews>
    <sheetView tabSelected="1" zoomScale="98" zoomScaleNormal="9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Z8" sqref="BZ8"/>
    </sheetView>
  </sheetViews>
  <sheetFormatPr defaultRowHeight="15" x14ac:dyDescent="0.25"/>
  <cols>
    <col min="1" max="1" width="37.5703125" customWidth="1"/>
    <col min="2" max="20" width="9.140625" customWidth="1"/>
    <col min="21" max="21" width="9.140625" style="26" customWidth="1"/>
    <col min="22" max="54" width="9.140625" customWidth="1"/>
    <col min="55" max="55" width="10" customWidth="1"/>
    <col min="56" max="60" width="9.140625" customWidth="1"/>
    <col min="61" max="61" width="10" customWidth="1"/>
    <col min="62" max="63" width="9.140625" customWidth="1"/>
    <col min="66" max="69" width="9.140625" customWidth="1"/>
    <col min="70" max="70" width="9.7109375" bestFit="1" customWidth="1"/>
    <col min="73" max="73" width="9.5703125" customWidth="1"/>
  </cols>
  <sheetData>
    <row r="1" spans="1:78" s="42" customFormat="1" ht="21.75" customHeight="1" x14ac:dyDescent="0.25">
      <c r="A1" s="41" t="s">
        <v>78</v>
      </c>
      <c r="U1" s="43"/>
    </row>
    <row r="2" spans="1:78" ht="18" customHeight="1" x14ac:dyDescent="0.25">
      <c r="A2" s="69" t="s">
        <v>0</v>
      </c>
      <c r="B2" s="71" t="s">
        <v>1</v>
      </c>
      <c r="C2" s="67"/>
      <c r="D2" s="67" t="s">
        <v>2</v>
      </c>
      <c r="E2" s="67"/>
      <c r="F2" s="68" t="s">
        <v>3</v>
      </c>
      <c r="G2" s="68"/>
      <c r="H2" s="68"/>
      <c r="I2" s="68"/>
      <c r="J2" s="67" t="s">
        <v>4</v>
      </c>
      <c r="K2" s="67"/>
      <c r="L2" s="68" t="s">
        <v>3</v>
      </c>
      <c r="M2" s="68"/>
      <c r="N2" s="68"/>
      <c r="O2" s="68"/>
      <c r="P2" s="67" t="s">
        <v>5</v>
      </c>
      <c r="Q2" s="67"/>
      <c r="R2" s="68" t="s">
        <v>3</v>
      </c>
      <c r="S2" s="68"/>
      <c r="T2" s="68"/>
      <c r="U2" s="68"/>
      <c r="V2" s="67" t="s">
        <v>6</v>
      </c>
      <c r="W2" s="67"/>
      <c r="X2" s="68" t="s">
        <v>3</v>
      </c>
      <c r="Y2" s="68"/>
      <c r="Z2" s="68"/>
      <c r="AA2" s="68"/>
      <c r="AB2" s="67" t="s">
        <v>66</v>
      </c>
      <c r="AC2" s="67"/>
      <c r="AD2" s="68" t="s">
        <v>3</v>
      </c>
      <c r="AE2" s="68"/>
      <c r="AF2" s="68"/>
      <c r="AG2" s="68"/>
      <c r="AH2" s="67" t="s">
        <v>69</v>
      </c>
      <c r="AI2" s="67"/>
      <c r="AJ2" s="68" t="s">
        <v>3</v>
      </c>
      <c r="AK2" s="68"/>
      <c r="AL2" s="68"/>
      <c r="AM2" s="68"/>
      <c r="AN2" s="67" t="s">
        <v>71</v>
      </c>
      <c r="AO2" s="67"/>
      <c r="AP2" s="68" t="s">
        <v>3</v>
      </c>
      <c r="AQ2" s="68"/>
      <c r="AR2" s="68"/>
      <c r="AS2" s="68"/>
      <c r="AT2" s="67" t="s">
        <v>72</v>
      </c>
      <c r="AU2" s="67"/>
      <c r="AV2" s="68" t="s">
        <v>3</v>
      </c>
      <c r="AW2" s="68"/>
      <c r="AX2" s="68"/>
      <c r="AY2" s="68"/>
      <c r="AZ2" s="67" t="s">
        <v>73</v>
      </c>
      <c r="BA2" s="67"/>
      <c r="BB2" s="68" t="s">
        <v>3</v>
      </c>
      <c r="BC2" s="68"/>
      <c r="BD2" s="68"/>
      <c r="BE2" s="68"/>
      <c r="BF2" s="67" t="s">
        <v>74</v>
      </c>
      <c r="BG2" s="67"/>
      <c r="BH2" s="68" t="s">
        <v>3</v>
      </c>
      <c r="BI2" s="68"/>
      <c r="BJ2" s="68"/>
      <c r="BK2" s="68"/>
      <c r="BL2" s="67" t="s">
        <v>76</v>
      </c>
      <c r="BM2" s="67"/>
      <c r="BN2" s="68" t="s">
        <v>3</v>
      </c>
      <c r="BO2" s="68"/>
      <c r="BP2" s="68"/>
      <c r="BQ2" s="68"/>
      <c r="BR2" s="70" t="s">
        <v>77</v>
      </c>
      <c r="BS2" s="70"/>
      <c r="BT2" s="67" t="s">
        <v>75</v>
      </c>
      <c r="BU2" s="67"/>
      <c r="BV2" s="68" t="s">
        <v>3</v>
      </c>
      <c r="BW2" s="68"/>
      <c r="BX2" s="68"/>
      <c r="BY2" s="68"/>
    </row>
    <row r="3" spans="1:78" ht="45" customHeight="1" x14ac:dyDescent="0.25">
      <c r="A3" s="69"/>
      <c r="B3" s="71"/>
      <c r="C3" s="67"/>
      <c r="D3" s="67"/>
      <c r="E3" s="67"/>
      <c r="F3" s="69" t="s">
        <v>7</v>
      </c>
      <c r="G3" s="69"/>
      <c r="H3" s="69" t="s">
        <v>8</v>
      </c>
      <c r="I3" s="69"/>
      <c r="J3" s="67"/>
      <c r="K3" s="67"/>
      <c r="L3" s="69" t="s">
        <v>7</v>
      </c>
      <c r="M3" s="69"/>
      <c r="N3" s="69" t="s">
        <v>8</v>
      </c>
      <c r="O3" s="69"/>
      <c r="P3" s="67"/>
      <c r="Q3" s="67"/>
      <c r="R3" s="69" t="s">
        <v>7</v>
      </c>
      <c r="S3" s="69"/>
      <c r="T3" s="69" t="s">
        <v>8</v>
      </c>
      <c r="U3" s="69"/>
      <c r="V3" s="67"/>
      <c r="W3" s="67"/>
      <c r="X3" s="69" t="s">
        <v>7</v>
      </c>
      <c r="Y3" s="69"/>
      <c r="Z3" s="69" t="s">
        <v>8</v>
      </c>
      <c r="AA3" s="69"/>
      <c r="AB3" s="67"/>
      <c r="AC3" s="67"/>
      <c r="AD3" s="69" t="s">
        <v>7</v>
      </c>
      <c r="AE3" s="69"/>
      <c r="AF3" s="69" t="s">
        <v>8</v>
      </c>
      <c r="AG3" s="69"/>
      <c r="AH3" s="67"/>
      <c r="AI3" s="67"/>
      <c r="AJ3" s="69" t="s">
        <v>7</v>
      </c>
      <c r="AK3" s="69"/>
      <c r="AL3" s="69" t="s">
        <v>8</v>
      </c>
      <c r="AM3" s="69"/>
      <c r="AN3" s="67"/>
      <c r="AO3" s="67"/>
      <c r="AP3" s="69" t="s">
        <v>7</v>
      </c>
      <c r="AQ3" s="69"/>
      <c r="AR3" s="69" t="s">
        <v>8</v>
      </c>
      <c r="AS3" s="69"/>
      <c r="AT3" s="67"/>
      <c r="AU3" s="67"/>
      <c r="AV3" s="69" t="s">
        <v>7</v>
      </c>
      <c r="AW3" s="69"/>
      <c r="AX3" s="69" t="s">
        <v>8</v>
      </c>
      <c r="AY3" s="69"/>
      <c r="AZ3" s="67"/>
      <c r="BA3" s="67"/>
      <c r="BB3" s="69" t="s">
        <v>7</v>
      </c>
      <c r="BC3" s="69"/>
      <c r="BD3" s="69" t="s">
        <v>8</v>
      </c>
      <c r="BE3" s="69"/>
      <c r="BF3" s="67"/>
      <c r="BG3" s="67"/>
      <c r="BH3" s="69" t="s">
        <v>7</v>
      </c>
      <c r="BI3" s="69"/>
      <c r="BJ3" s="69" t="s">
        <v>8</v>
      </c>
      <c r="BK3" s="69"/>
      <c r="BL3" s="67"/>
      <c r="BM3" s="67"/>
      <c r="BN3" s="69" t="s">
        <v>7</v>
      </c>
      <c r="BO3" s="69"/>
      <c r="BP3" s="69" t="s">
        <v>8</v>
      </c>
      <c r="BQ3" s="69"/>
      <c r="BR3" s="70"/>
      <c r="BS3" s="70"/>
      <c r="BT3" s="67"/>
      <c r="BU3" s="67"/>
      <c r="BV3" s="69" t="s">
        <v>7</v>
      </c>
      <c r="BW3" s="69"/>
      <c r="BX3" s="69" t="s">
        <v>8</v>
      </c>
      <c r="BY3" s="69"/>
    </row>
    <row r="4" spans="1:78" ht="45" x14ac:dyDescent="0.25">
      <c r="A4" s="69"/>
      <c r="B4" s="1" t="s">
        <v>9</v>
      </c>
      <c r="C4" s="2" t="s">
        <v>10</v>
      </c>
      <c r="D4" s="2" t="s">
        <v>9</v>
      </c>
      <c r="E4" s="2" t="s">
        <v>10</v>
      </c>
      <c r="F4" s="3" t="s">
        <v>11</v>
      </c>
      <c r="G4" s="3" t="s">
        <v>12</v>
      </c>
      <c r="H4" s="3" t="s">
        <v>11</v>
      </c>
      <c r="I4" s="3" t="s">
        <v>12</v>
      </c>
      <c r="J4" s="2" t="s">
        <v>9</v>
      </c>
      <c r="K4" s="2" t="s">
        <v>10</v>
      </c>
      <c r="L4" s="3" t="s">
        <v>11</v>
      </c>
      <c r="M4" s="3" t="s">
        <v>12</v>
      </c>
      <c r="N4" s="3" t="s">
        <v>11</v>
      </c>
      <c r="O4" s="3" t="s">
        <v>12</v>
      </c>
      <c r="P4" s="2" t="s">
        <v>9</v>
      </c>
      <c r="Q4" s="2" t="s">
        <v>10</v>
      </c>
      <c r="R4" s="3" t="s">
        <v>11</v>
      </c>
      <c r="S4" s="3" t="s">
        <v>12</v>
      </c>
      <c r="T4" s="3" t="s">
        <v>11</v>
      </c>
      <c r="U4" s="4" t="s">
        <v>12</v>
      </c>
      <c r="V4" s="2" t="s">
        <v>9</v>
      </c>
      <c r="W4" s="2" t="s">
        <v>10</v>
      </c>
      <c r="X4" s="3" t="s">
        <v>11</v>
      </c>
      <c r="Y4" s="3" t="s">
        <v>12</v>
      </c>
      <c r="Z4" s="3" t="s">
        <v>11</v>
      </c>
      <c r="AA4" s="3" t="s">
        <v>12</v>
      </c>
      <c r="AB4" s="29" t="s">
        <v>9</v>
      </c>
      <c r="AC4" s="29" t="s">
        <v>10</v>
      </c>
      <c r="AD4" s="28" t="s">
        <v>11</v>
      </c>
      <c r="AE4" s="28" t="s">
        <v>12</v>
      </c>
      <c r="AF4" s="28" t="s">
        <v>11</v>
      </c>
      <c r="AG4" s="28" t="s">
        <v>12</v>
      </c>
      <c r="AH4" s="30" t="s">
        <v>9</v>
      </c>
      <c r="AI4" s="30" t="s">
        <v>10</v>
      </c>
      <c r="AJ4" s="31" t="s">
        <v>11</v>
      </c>
      <c r="AK4" s="31" t="s">
        <v>12</v>
      </c>
      <c r="AL4" s="31" t="s">
        <v>11</v>
      </c>
      <c r="AM4" s="31" t="s">
        <v>12</v>
      </c>
      <c r="AN4" s="32" t="s">
        <v>9</v>
      </c>
      <c r="AO4" s="32" t="s">
        <v>10</v>
      </c>
      <c r="AP4" s="33" t="s">
        <v>11</v>
      </c>
      <c r="AQ4" s="33" t="s">
        <v>12</v>
      </c>
      <c r="AR4" s="33" t="s">
        <v>11</v>
      </c>
      <c r="AS4" s="33" t="s">
        <v>12</v>
      </c>
      <c r="AT4" s="37" t="s">
        <v>9</v>
      </c>
      <c r="AU4" s="37" t="s">
        <v>10</v>
      </c>
      <c r="AV4" s="36" t="s">
        <v>11</v>
      </c>
      <c r="AW4" s="36" t="s">
        <v>12</v>
      </c>
      <c r="AX4" s="36" t="s">
        <v>11</v>
      </c>
      <c r="AY4" s="36" t="s">
        <v>12</v>
      </c>
      <c r="AZ4" s="37" t="s">
        <v>9</v>
      </c>
      <c r="BA4" s="37" t="s">
        <v>10</v>
      </c>
      <c r="BB4" s="36" t="s">
        <v>11</v>
      </c>
      <c r="BC4" s="36" t="s">
        <v>12</v>
      </c>
      <c r="BD4" s="36" t="s">
        <v>11</v>
      </c>
      <c r="BE4" s="36" t="s">
        <v>12</v>
      </c>
      <c r="BF4" s="38" t="s">
        <v>9</v>
      </c>
      <c r="BG4" s="38" t="s">
        <v>10</v>
      </c>
      <c r="BH4" s="39" t="s">
        <v>11</v>
      </c>
      <c r="BI4" s="39" t="s">
        <v>12</v>
      </c>
      <c r="BJ4" s="39" t="s">
        <v>11</v>
      </c>
      <c r="BK4" s="39" t="s">
        <v>12</v>
      </c>
      <c r="BL4" s="44" t="s">
        <v>9</v>
      </c>
      <c r="BM4" s="44" t="s">
        <v>10</v>
      </c>
      <c r="BN4" s="45" t="s">
        <v>11</v>
      </c>
      <c r="BO4" s="45" t="s">
        <v>12</v>
      </c>
      <c r="BP4" s="45" t="s">
        <v>11</v>
      </c>
      <c r="BQ4" s="45" t="s">
        <v>12</v>
      </c>
      <c r="BR4" s="62" t="s">
        <v>9</v>
      </c>
      <c r="BS4" s="62" t="s">
        <v>10</v>
      </c>
      <c r="BT4" s="46" t="s">
        <v>9</v>
      </c>
      <c r="BU4" s="46" t="s">
        <v>10</v>
      </c>
      <c r="BV4" s="47" t="s">
        <v>11</v>
      </c>
      <c r="BW4" s="47" t="s">
        <v>12</v>
      </c>
      <c r="BX4" s="47" t="s">
        <v>11</v>
      </c>
      <c r="BY4" s="47" t="s">
        <v>12</v>
      </c>
    </row>
    <row r="5" spans="1:78" s="13" customFormat="1" ht="38.25" x14ac:dyDescent="0.25">
      <c r="A5" s="5" t="s">
        <v>13</v>
      </c>
      <c r="B5" s="6">
        <v>69.03</v>
      </c>
      <c r="C5" s="7">
        <v>16.382999999999999</v>
      </c>
      <c r="D5" s="8">
        <v>35.381</v>
      </c>
      <c r="E5" s="8"/>
      <c r="F5" s="7">
        <v>-33.649000000000001</v>
      </c>
      <c r="G5" s="9">
        <v>-0.48749999999999999</v>
      </c>
      <c r="H5" s="10">
        <v>-16.382999999999999</v>
      </c>
      <c r="I5" s="9">
        <v>-0.46300000000000002</v>
      </c>
      <c r="J5" s="11">
        <v>7.5339999999999998</v>
      </c>
      <c r="K5" s="11"/>
      <c r="L5" s="11">
        <f t="shared" ref="L5:L26" si="0">J5-D5</f>
        <v>-27.847000000000001</v>
      </c>
      <c r="M5" s="12">
        <f t="shared" ref="M5:M21" si="1">L5/D5</f>
        <v>-0.78706085186964758</v>
      </c>
      <c r="N5" s="11"/>
      <c r="O5" s="12"/>
      <c r="P5" s="11">
        <v>98.298000000000002</v>
      </c>
      <c r="Q5" s="11">
        <v>21</v>
      </c>
      <c r="R5" s="11">
        <f t="shared" ref="R5:R26" si="2">P5-J5</f>
        <v>90.763999999999996</v>
      </c>
      <c r="S5" s="12">
        <f t="shared" ref="S5:S21" si="3">R5/J5</f>
        <v>12.047252455534908</v>
      </c>
      <c r="T5" s="11">
        <f>Q5-K5</f>
        <v>21</v>
      </c>
      <c r="U5" s="12"/>
      <c r="V5" s="11">
        <v>50.692999999999998</v>
      </c>
      <c r="W5" s="11"/>
      <c r="X5" s="11">
        <f t="shared" ref="X5:X26" si="4">V5-P5</f>
        <v>-47.605000000000004</v>
      </c>
      <c r="Y5" s="12">
        <f t="shared" ref="Y5:Y26" si="5">X5/P5</f>
        <v>-0.48429266109178215</v>
      </c>
      <c r="Z5" s="11">
        <f>W5-Q5</f>
        <v>-21</v>
      </c>
      <c r="AA5" s="12">
        <f>Z5/Q5</f>
        <v>-1</v>
      </c>
      <c r="AB5" s="11">
        <v>2.4472381400000001</v>
      </c>
      <c r="AC5" s="11"/>
      <c r="AD5" s="11">
        <f t="shared" ref="AD5:AD26" si="6">AB5-V5</f>
        <v>-48.245761859999995</v>
      </c>
      <c r="AE5" s="12">
        <f t="shared" ref="AE5:AE26" si="7">AD5/V5</f>
        <v>-0.95172433787702437</v>
      </c>
      <c r="AF5" s="11"/>
      <c r="AG5" s="12"/>
      <c r="AH5" s="11">
        <v>53.771900000000002</v>
      </c>
      <c r="AI5" s="11">
        <v>6</v>
      </c>
      <c r="AJ5" s="11">
        <f t="shared" ref="AJ5:AJ26" si="8">AH5-AB5</f>
        <v>51.324661859999999</v>
      </c>
      <c r="AK5" s="12">
        <f t="shared" ref="AK5:AK16" si="9">AJ5/AB5</f>
        <v>20.97248364231525</v>
      </c>
      <c r="AL5" s="20">
        <f t="shared" ref="AL5:AL26" si="10">AI5-AC5</f>
        <v>6</v>
      </c>
      <c r="AM5" s="12"/>
      <c r="AN5" s="11">
        <v>48.504212670000001</v>
      </c>
      <c r="AO5" s="11"/>
      <c r="AP5" s="11">
        <f t="shared" ref="AP5:AP51" si="11">AN5-AH5</f>
        <v>-5.2676873300000011</v>
      </c>
      <c r="AQ5" s="12">
        <f t="shared" ref="AQ5:AQ16" si="12">AP5/AH5</f>
        <v>-9.7963570749778253E-2</v>
      </c>
      <c r="AR5" s="20">
        <f t="shared" ref="AR5:AR26" si="13">AO5-AI5</f>
        <v>-6</v>
      </c>
      <c r="AS5" s="21">
        <f>AR5/AI5</f>
        <v>-1</v>
      </c>
      <c r="AT5" s="11">
        <v>29.063371149999998</v>
      </c>
      <c r="AU5" s="11"/>
      <c r="AV5" s="11">
        <f t="shared" ref="AV5:AV37" si="14">AT5-AN5</f>
        <v>-19.440841520000003</v>
      </c>
      <c r="AW5" s="12">
        <f t="shared" ref="AW5:AW37" si="15">AV5/AN5</f>
        <v>-0.40080727940614985</v>
      </c>
      <c r="AX5" s="20">
        <f t="shared" ref="AX5:AX26" si="16">AU5-AO5</f>
        <v>0</v>
      </c>
      <c r="AY5" s="21"/>
      <c r="AZ5" s="11">
        <v>44.301299999999998</v>
      </c>
      <c r="BA5" s="11"/>
      <c r="BB5" s="11">
        <f t="shared" ref="BB5:BB27" si="17">AZ5-AT5</f>
        <v>15.237928849999999</v>
      </c>
      <c r="BC5" s="12">
        <f t="shared" ref="BC5:BC26" si="18">BB5/AT5</f>
        <v>0.52430011547369992</v>
      </c>
      <c r="BD5" s="20">
        <f t="shared" ref="BD5:BD26" si="19">BA5-AU5</f>
        <v>0</v>
      </c>
      <c r="BE5" s="21"/>
      <c r="BF5" s="11">
        <f>0.0501071*1000</f>
        <v>50.107100000000003</v>
      </c>
      <c r="BG5" s="11">
        <v>0</v>
      </c>
      <c r="BH5" s="11">
        <f t="shared" ref="BH5:BH27" si="20">BF5-AZ5</f>
        <v>5.805800000000005</v>
      </c>
      <c r="BI5" s="12">
        <f t="shared" ref="BI5:BI27" si="21">BH5/AZ5</f>
        <v>0.13105258762158234</v>
      </c>
      <c r="BJ5" s="20">
        <f t="shared" ref="BJ5:BJ26" si="22">BG5-BA5</f>
        <v>0</v>
      </c>
      <c r="BK5" s="21"/>
      <c r="BL5" s="11">
        <v>0.20280000000000001</v>
      </c>
      <c r="BM5" s="11"/>
      <c r="BN5" s="11">
        <f t="shared" ref="BN5:BN26" si="23">BL5-BF5</f>
        <v>-49.904299999999999</v>
      </c>
      <c r="BO5" s="12">
        <f t="shared" ref="BO5:BO26" si="24">BN5/BF5</f>
        <v>-0.9959526693821833</v>
      </c>
      <c r="BP5" s="20"/>
      <c r="BQ5" s="21"/>
      <c r="BR5" s="63">
        <v>0.20280000000000001</v>
      </c>
      <c r="BS5" s="63"/>
      <c r="BT5" s="11">
        <v>54.473700000000001</v>
      </c>
      <c r="BU5" s="11"/>
      <c r="BV5" s="11">
        <f t="shared" ref="BV5:BV47" si="25">BT5-BR5</f>
        <v>54.270899999999997</v>
      </c>
      <c r="BW5" s="12">
        <f t="shared" ref="BW5:BW47" si="26">BV5/BR5</f>
        <v>267.60798816568047</v>
      </c>
      <c r="BX5" s="20"/>
      <c r="BY5" s="21"/>
    </row>
    <row r="6" spans="1:78" s="13" customFormat="1" ht="25.5" x14ac:dyDescent="0.25">
      <c r="A6" s="5" t="s">
        <v>42</v>
      </c>
      <c r="B6" s="15">
        <v>38.548999999999999</v>
      </c>
      <c r="C6" s="16"/>
      <c r="D6" s="17">
        <v>26.440999999999999</v>
      </c>
      <c r="E6" s="17"/>
      <c r="F6" s="16">
        <v>-12.108000000000001</v>
      </c>
      <c r="G6" s="18">
        <v>-0.31409999999999999</v>
      </c>
      <c r="H6" s="19"/>
      <c r="I6" s="19"/>
      <c r="J6" s="20">
        <v>52.475000000000001</v>
      </c>
      <c r="K6" s="20"/>
      <c r="L6" s="20">
        <f t="shared" si="0"/>
        <v>26.034000000000002</v>
      </c>
      <c r="M6" s="21">
        <f t="shared" si="1"/>
        <v>0.98460723875798961</v>
      </c>
      <c r="N6" s="20"/>
      <c r="O6" s="21"/>
      <c r="P6" s="20">
        <v>76.156999999999996</v>
      </c>
      <c r="Q6" s="20"/>
      <c r="R6" s="20">
        <f t="shared" si="2"/>
        <v>23.681999999999995</v>
      </c>
      <c r="S6" s="21">
        <f t="shared" si="3"/>
        <v>0.45130061934254395</v>
      </c>
      <c r="T6" s="20"/>
      <c r="U6" s="21"/>
      <c r="V6" s="20">
        <v>65.149000000000001</v>
      </c>
      <c r="W6" s="20"/>
      <c r="X6" s="20">
        <f t="shared" si="4"/>
        <v>-11.007999999999996</v>
      </c>
      <c r="Y6" s="21">
        <f t="shared" si="5"/>
        <v>-0.14454350880418079</v>
      </c>
      <c r="Z6" s="20"/>
      <c r="AA6" s="21"/>
      <c r="AB6" s="20">
        <v>56.575293289999998</v>
      </c>
      <c r="AC6" s="20"/>
      <c r="AD6" s="20">
        <f t="shared" si="6"/>
        <v>-8.5737067100000033</v>
      </c>
      <c r="AE6" s="21">
        <f t="shared" si="7"/>
        <v>-0.13160150900244061</v>
      </c>
      <c r="AF6" s="20"/>
      <c r="AG6" s="21"/>
      <c r="AH6" s="20">
        <v>56.577399999999997</v>
      </c>
      <c r="AI6" s="20"/>
      <c r="AJ6" s="20">
        <f t="shared" si="8"/>
        <v>2.1067099999996231E-3</v>
      </c>
      <c r="AK6" s="21">
        <f t="shared" si="9"/>
        <v>3.7237279340308713E-5</v>
      </c>
      <c r="AL6" s="20">
        <f t="shared" si="10"/>
        <v>0</v>
      </c>
      <c r="AM6" s="21"/>
      <c r="AN6" s="20">
        <v>37.213937489999999</v>
      </c>
      <c r="AO6" s="20"/>
      <c r="AP6" s="20">
        <f t="shared" si="11"/>
        <v>-19.363462509999998</v>
      </c>
      <c r="AQ6" s="21">
        <f t="shared" si="12"/>
        <v>-0.34224730210295984</v>
      </c>
      <c r="AR6" s="20">
        <f t="shared" si="13"/>
        <v>0</v>
      </c>
      <c r="AS6" s="21"/>
      <c r="AT6" s="20">
        <v>53.367989559999998</v>
      </c>
      <c r="AU6" s="20"/>
      <c r="AV6" s="11">
        <f t="shared" si="14"/>
        <v>16.154052069999999</v>
      </c>
      <c r="AW6" s="12">
        <f t="shared" si="15"/>
        <v>0.43408607525986359</v>
      </c>
      <c r="AX6" s="20">
        <f t="shared" si="16"/>
        <v>0</v>
      </c>
      <c r="AY6" s="21"/>
      <c r="AZ6" s="20">
        <v>50.653500000000001</v>
      </c>
      <c r="BA6" s="20"/>
      <c r="BB6" s="11">
        <f t="shared" si="17"/>
        <v>-2.714489559999997</v>
      </c>
      <c r="BC6" s="12">
        <f t="shared" si="18"/>
        <v>-5.0863627848453601E-2</v>
      </c>
      <c r="BD6" s="20">
        <f t="shared" si="19"/>
        <v>0</v>
      </c>
      <c r="BE6" s="21"/>
      <c r="BF6" s="20">
        <f>0.0466768*1000</f>
        <v>46.6768</v>
      </c>
      <c r="BG6" s="20">
        <v>0</v>
      </c>
      <c r="BH6" s="11">
        <f t="shared" si="20"/>
        <v>-3.976700000000001</v>
      </c>
      <c r="BI6" s="12">
        <f t="shared" si="21"/>
        <v>-7.8507901724461315E-2</v>
      </c>
      <c r="BJ6" s="20">
        <f t="shared" si="22"/>
        <v>0</v>
      </c>
      <c r="BK6" s="21"/>
      <c r="BL6" s="20">
        <v>30.1678</v>
      </c>
      <c r="BM6" s="20"/>
      <c r="BN6" s="11">
        <f t="shared" si="23"/>
        <v>-16.509</v>
      </c>
      <c r="BO6" s="12">
        <f t="shared" si="24"/>
        <v>-0.35368748500325642</v>
      </c>
      <c r="BP6" s="20"/>
      <c r="BQ6" s="21"/>
      <c r="BR6" s="64">
        <v>30.1678</v>
      </c>
      <c r="BS6" s="64"/>
      <c r="BT6" s="20">
        <v>51.559800000000003</v>
      </c>
      <c r="BU6" s="20"/>
      <c r="BV6" s="11">
        <f t="shared" si="25"/>
        <v>21.392000000000003</v>
      </c>
      <c r="BW6" s="12">
        <f t="shared" si="26"/>
        <v>0.70910043158599578</v>
      </c>
      <c r="BX6" s="20"/>
      <c r="BY6" s="21"/>
    </row>
    <row r="7" spans="1:78" s="13" customFormat="1" ht="25.5" x14ac:dyDescent="0.25">
      <c r="A7" s="14" t="s">
        <v>14</v>
      </c>
      <c r="B7" s="15">
        <v>6.1849999999999996</v>
      </c>
      <c r="C7" s="16"/>
      <c r="D7" s="17">
        <v>6.5119999999999996</v>
      </c>
      <c r="E7" s="17"/>
      <c r="F7" s="16">
        <v>0.32700000000000001</v>
      </c>
      <c r="G7" s="18">
        <v>5.2900000000000003E-2</v>
      </c>
      <c r="H7" s="19"/>
      <c r="I7" s="19"/>
      <c r="J7" s="20">
        <v>0.20799999999999999</v>
      </c>
      <c r="K7" s="20"/>
      <c r="L7" s="20">
        <f t="shared" si="0"/>
        <v>-6.3039999999999994</v>
      </c>
      <c r="M7" s="21">
        <f t="shared" si="1"/>
        <v>-0.96805896805896807</v>
      </c>
      <c r="N7" s="20"/>
      <c r="O7" s="21"/>
      <c r="P7" s="20">
        <v>15.318</v>
      </c>
      <c r="Q7" s="20"/>
      <c r="R7" s="20">
        <f t="shared" si="2"/>
        <v>15.11</v>
      </c>
      <c r="S7" s="21">
        <f t="shared" si="3"/>
        <v>72.644230769230774</v>
      </c>
      <c r="T7" s="20"/>
      <c r="U7" s="21"/>
      <c r="V7" s="20">
        <v>14.19</v>
      </c>
      <c r="W7" s="20"/>
      <c r="X7" s="20">
        <f t="shared" si="4"/>
        <v>-1.1280000000000001</v>
      </c>
      <c r="Y7" s="21">
        <f t="shared" si="5"/>
        <v>-7.3638856247551912E-2</v>
      </c>
      <c r="Z7" s="20"/>
      <c r="AA7" s="21"/>
      <c r="AB7" s="20">
        <v>8.2784267499999995</v>
      </c>
      <c r="AC7" s="20"/>
      <c r="AD7" s="20">
        <f t="shared" si="6"/>
        <v>-5.91157325</v>
      </c>
      <c r="AE7" s="21">
        <f t="shared" si="7"/>
        <v>-0.41660135658914732</v>
      </c>
      <c r="AF7" s="20"/>
      <c r="AG7" s="21"/>
      <c r="AH7" s="20">
        <v>6.1923000000000004</v>
      </c>
      <c r="AI7" s="20"/>
      <c r="AJ7" s="20">
        <f t="shared" si="8"/>
        <v>-2.0861267499999991</v>
      </c>
      <c r="AK7" s="21">
        <f t="shared" si="9"/>
        <v>-0.2519955557980868</v>
      </c>
      <c r="AL7" s="20">
        <f t="shared" si="10"/>
        <v>0</v>
      </c>
      <c r="AM7" s="21"/>
      <c r="AN7" s="20">
        <v>9.19186251</v>
      </c>
      <c r="AO7" s="20"/>
      <c r="AP7" s="20">
        <f t="shared" si="11"/>
        <v>2.9995625099999996</v>
      </c>
      <c r="AQ7" s="21">
        <f t="shared" si="12"/>
        <v>0.48440200087205071</v>
      </c>
      <c r="AR7" s="20">
        <f t="shared" si="13"/>
        <v>0</v>
      </c>
      <c r="AS7" s="21"/>
      <c r="AT7" s="20">
        <v>0.54290821</v>
      </c>
      <c r="AU7" s="20"/>
      <c r="AV7" s="11">
        <f t="shared" si="14"/>
        <v>-8.6489542999999998</v>
      </c>
      <c r="AW7" s="12">
        <f t="shared" si="15"/>
        <v>-0.94093599535356842</v>
      </c>
      <c r="AX7" s="20">
        <f t="shared" si="16"/>
        <v>0</v>
      </c>
      <c r="AY7" s="21"/>
      <c r="AZ7" s="20">
        <v>10.648400000000001</v>
      </c>
      <c r="BA7" s="20"/>
      <c r="BB7" s="11">
        <f t="shared" si="17"/>
        <v>10.10549179</v>
      </c>
      <c r="BC7" s="12">
        <f t="shared" si="18"/>
        <v>18.613628609521303</v>
      </c>
      <c r="BD7" s="20">
        <f t="shared" si="19"/>
        <v>0</v>
      </c>
      <c r="BE7" s="21"/>
      <c r="BF7" s="20">
        <v>15.9993</v>
      </c>
      <c r="BG7" s="20">
        <v>0</v>
      </c>
      <c r="BH7" s="11">
        <f t="shared" si="20"/>
        <v>5.3508999999999993</v>
      </c>
      <c r="BI7" s="12">
        <f t="shared" si="21"/>
        <v>0.50250741895496032</v>
      </c>
      <c r="BJ7" s="20">
        <f t="shared" si="22"/>
        <v>0</v>
      </c>
      <c r="BK7" s="21"/>
      <c r="BL7" s="20">
        <v>1.5079</v>
      </c>
      <c r="BM7" s="20"/>
      <c r="BN7" s="11">
        <f t="shared" si="23"/>
        <v>-14.491400000000001</v>
      </c>
      <c r="BO7" s="12">
        <f t="shared" si="24"/>
        <v>-0.90575212665554117</v>
      </c>
      <c r="BP7" s="20"/>
      <c r="BQ7" s="21"/>
      <c r="BR7" s="64">
        <v>1.5079</v>
      </c>
      <c r="BS7" s="64"/>
      <c r="BT7" s="20">
        <v>16.463699999999999</v>
      </c>
      <c r="BU7" s="20"/>
      <c r="BV7" s="11">
        <f t="shared" si="25"/>
        <v>14.9558</v>
      </c>
      <c r="BW7" s="12">
        <f t="shared" si="26"/>
        <v>9.9182969692950458</v>
      </c>
      <c r="BX7" s="20"/>
      <c r="BY7" s="21"/>
    </row>
    <row r="8" spans="1:78" s="13" customFormat="1" ht="25.5" x14ac:dyDescent="0.25">
      <c r="A8" s="5" t="s">
        <v>15</v>
      </c>
      <c r="B8" s="15">
        <v>53.896999999999998</v>
      </c>
      <c r="C8" s="16"/>
      <c r="D8" s="17">
        <v>78.971999999999994</v>
      </c>
      <c r="E8" s="17"/>
      <c r="F8" s="16">
        <v>25.074999999999999</v>
      </c>
      <c r="G8" s="18">
        <v>0.4652</v>
      </c>
      <c r="H8" s="19"/>
      <c r="I8" s="19"/>
      <c r="J8" s="20">
        <v>107.464</v>
      </c>
      <c r="K8" s="20"/>
      <c r="L8" s="20">
        <f t="shared" si="0"/>
        <v>28.492000000000004</v>
      </c>
      <c r="M8" s="21">
        <f t="shared" si="1"/>
        <v>0.36078610140302902</v>
      </c>
      <c r="N8" s="20"/>
      <c r="O8" s="21"/>
      <c r="P8" s="20">
        <v>90.212999999999994</v>
      </c>
      <c r="Q8" s="20"/>
      <c r="R8" s="20">
        <f t="shared" si="2"/>
        <v>-17.251000000000005</v>
      </c>
      <c r="S8" s="21">
        <f t="shared" si="3"/>
        <v>-0.16052817687783821</v>
      </c>
      <c r="T8" s="20"/>
      <c r="U8" s="21"/>
      <c r="V8" s="20">
        <v>62.201999999999998</v>
      </c>
      <c r="W8" s="20"/>
      <c r="X8" s="20">
        <f t="shared" si="4"/>
        <v>-28.010999999999996</v>
      </c>
      <c r="Y8" s="21">
        <f t="shared" si="5"/>
        <v>-0.31049848691430276</v>
      </c>
      <c r="Z8" s="20"/>
      <c r="AA8" s="21"/>
      <c r="AB8" s="20">
        <v>79.235659350000006</v>
      </c>
      <c r="AC8" s="20"/>
      <c r="AD8" s="20">
        <f t="shared" si="6"/>
        <v>17.033659350000008</v>
      </c>
      <c r="AE8" s="21">
        <f t="shared" si="7"/>
        <v>0.27384423893122423</v>
      </c>
      <c r="AF8" s="20"/>
      <c r="AG8" s="21"/>
      <c r="AH8" s="20">
        <v>50.0533</v>
      </c>
      <c r="AI8" s="20"/>
      <c r="AJ8" s="20">
        <f t="shared" si="8"/>
        <v>-29.182359350000006</v>
      </c>
      <c r="AK8" s="21">
        <f t="shared" si="9"/>
        <v>-0.36829830898605381</v>
      </c>
      <c r="AL8" s="20">
        <f t="shared" si="10"/>
        <v>0</v>
      </c>
      <c r="AM8" s="21"/>
      <c r="AN8" s="20">
        <v>61.942289580000001</v>
      </c>
      <c r="AO8" s="20"/>
      <c r="AP8" s="20">
        <f t="shared" si="11"/>
        <v>11.888989580000001</v>
      </c>
      <c r="AQ8" s="21">
        <f t="shared" si="12"/>
        <v>0.23752658825691814</v>
      </c>
      <c r="AR8" s="20">
        <f t="shared" si="13"/>
        <v>0</v>
      </c>
      <c r="AS8" s="21"/>
      <c r="AT8" s="20">
        <v>64.758948549999999</v>
      </c>
      <c r="AU8" s="20"/>
      <c r="AV8" s="11">
        <f t="shared" si="14"/>
        <v>2.8166589699999989</v>
      </c>
      <c r="AW8" s="12">
        <f t="shared" si="15"/>
        <v>4.5472309614293709E-2</v>
      </c>
      <c r="AX8" s="20">
        <f t="shared" si="16"/>
        <v>0</v>
      </c>
      <c r="AY8" s="21"/>
      <c r="AZ8" s="20">
        <v>54.3628</v>
      </c>
      <c r="BA8" s="20"/>
      <c r="BB8" s="11">
        <f t="shared" si="17"/>
        <v>-10.396148549999999</v>
      </c>
      <c r="BC8" s="12">
        <f t="shared" si="18"/>
        <v>-0.16053609242857295</v>
      </c>
      <c r="BD8" s="20">
        <f t="shared" si="19"/>
        <v>0</v>
      </c>
      <c r="BE8" s="21"/>
      <c r="BF8" s="20">
        <v>48.024900000000002</v>
      </c>
      <c r="BG8" s="20">
        <v>0</v>
      </c>
      <c r="BH8" s="11">
        <f t="shared" si="20"/>
        <v>-6.3378999999999976</v>
      </c>
      <c r="BI8" s="12">
        <f t="shared" si="21"/>
        <v>-0.11658523843510632</v>
      </c>
      <c r="BJ8" s="20">
        <f t="shared" si="22"/>
        <v>0</v>
      </c>
      <c r="BK8" s="21"/>
      <c r="BL8" s="20">
        <v>36.536000000000001</v>
      </c>
      <c r="BM8" s="20"/>
      <c r="BN8" s="11">
        <f t="shared" si="23"/>
        <v>-11.488900000000001</v>
      </c>
      <c r="BO8" s="12">
        <f t="shared" si="24"/>
        <v>-0.23922798381672841</v>
      </c>
      <c r="BP8" s="20"/>
      <c r="BQ8" s="21"/>
      <c r="BR8" s="64">
        <v>36.536000000000001</v>
      </c>
      <c r="BS8" s="64"/>
      <c r="BT8" s="20">
        <v>32.643700000000003</v>
      </c>
      <c r="BU8" s="20"/>
      <c r="BV8" s="11">
        <f t="shared" si="25"/>
        <v>-3.8922999999999988</v>
      </c>
      <c r="BW8" s="12">
        <f t="shared" si="26"/>
        <v>-0.10653328224217207</v>
      </c>
      <c r="BX8" s="20"/>
      <c r="BY8" s="21"/>
    </row>
    <row r="9" spans="1:78" s="13" customFormat="1" ht="38.25" x14ac:dyDescent="0.25">
      <c r="A9" s="14" t="s">
        <v>16</v>
      </c>
      <c r="B9" s="15">
        <v>17.645</v>
      </c>
      <c r="C9" s="16"/>
      <c r="D9" s="17">
        <v>17.582000000000001</v>
      </c>
      <c r="E9" s="17"/>
      <c r="F9" s="16">
        <v>-6.3E-2</v>
      </c>
      <c r="G9" s="18">
        <v>-3.5999999999999999E-3</v>
      </c>
      <c r="H9" s="19"/>
      <c r="I9" s="19"/>
      <c r="J9" s="20">
        <v>18.489000000000001</v>
      </c>
      <c r="K9" s="20"/>
      <c r="L9" s="20">
        <f t="shared" si="0"/>
        <v>0.90700000000000003</v>
      </c>
      <c r="M9" s="21">
        <f t="shared" si="1"/>
        <v>5.1586850187691956E-2</v>
      </c>
      <c r="N9" s="20"/>
      <c r="O9" s="21"/>
      <c r="P9" s="20">
        <v>34.252000000000002</v>
      </c>
      <c r="Q9" s="20"/>
      <c r="R9" s="20">
        <f t="shared" si="2"/>
        <v>15.763000000000002</v>
      </c>
      <c r="S9" s="21">
        <f t="shared" si="3"/>
        <v>0.85256098220563581</v>
      </c>
      <c r="T9" s="20"/>
      <c r="U9" s="21"/>
      <c r="V9" s="20">
        <v>28.271999999999998</v>
      </c>
      <c r="W9" s="20"/>
      <c r="X9" s="20">
        <f t="shared" si="4"/>
        <v>-5.980000000000004</v>
      </c>
      <c r="Y9" s="21">
        <f t="shared" si="5"/>
        <v>-0.17458834520611946</v>
      </c>
      <c r="Z9" s="20"/>
      <c r="AA9" s="21"/>
      <c r="AB9" s="20">
        <v>21.036570879999999</v>
      </c>
      <c r="AC9" s="20"/>
      <c r="AD9" s="20">
        <f t="shared" si="6"/>
        <v>-7.2354291199999992</v>
      </c>
      <c r="AE9" s="21">
        <f t="shared" si="7"/>
        <v>-0.25592208262591964</v>
      </c>
      <c r="AF9" s="20"/>
      <c r="AG9" s="21"/>
      <c r="AH9" s="20">
        <v>49.505499999999998</v>
      </c>
      <c r="AI9" s="20">
        <v>6.0594000000000001</v>
      </c>
      <c r="AJ9" s="20">
        <f t="shared" si="8"/>
        <v>28.468929119999999</v>
      </c>
      <c r="AK9" s="21">
        <f t="shared" si="9"/>
        <v>1.353306548029942</v>
      </c>
      <c r="AL9" s="20">
        <f t="shared" si="10"/>
        <v>6.0594000000000001</v>
      </c>
      <c r="AM9" s="21"/>
      <c r="AN9" s="20">
        <v>25.806807299999999</v>
      </c>
      <c r="AO9" s="20">
        <v>6.0526277200000003</v>
      </c>
      <c r="AP9" s="20">
        <f t="shared" si="11"/>
        <v>-23.698692699999999</v>
      </c>
      <c r="AQ9" s="21">
        <f t="shared" si="12"/>
        <v>-0.47870827887810447</v>
      </c>
      <c r="AR9" s="20">
        <f t="shared" si="13"/>
        <v>-6.7722799999998529E-3</v>
      </c>
      <c r="AS9" s="21">
        <f>AR9/AI9</f>
        <v>-1.1176486120737783E-3</v>
      </c>
      <c r="AT9" s="20">
        <v>25.8575333</v>
      </c>
      <c r="AU9" s="20"/>
      <c r="AV9" s="11">
        <f t="shared" si="14"/>
        <v>5.0726000000000937E-2</v>
      </c>
      <c r="AW9" s="12">
        <f t="shared" si="15"/>
        <v>1.9656054083063944E-3</v>
      </c>
      <c r="AX9" s="20">
        <f t="shared" si="16"/>
        <v>-6.0526277200000003</v>
      </c>
      <c r="AY9" s="21">
        <f>AX9/AO9</f>
        <v>-1</v>
      </c>
      <c r="AZ9" s="20">
        <v>11.0151</v>
      </c>
      <c r="BA9" s="20"/>
      <c r="BB9" s="11">
        <f t="shared" si="17"/>
        <v>-14.8424333</v>
      </c>
      <c r="BC9" s="12">
        <f t="shared" si="18"/>
        <v>-0.57400808993640551</v>
      </c>
      <c r="BD9" s="20">
        <f t="shared" si="19"/>
        <v>0</v>
      </c>
      <c r="BE9" s="21"/>
      <c r="BF9" s="20">
        <f>0.0120208*1000</f>
        <v>12.020799999999999</v>
      </c>
      <c r="BG9" s="20">
        <v>0</v>
      </c>
      <c r="BH9" s="11">
        <f t="shared" si="20"/>
        <v>1.0056999999999992</v>
      </c>
      <c r="BI9" s="12">
        <f t="shared" si="21"/>
        <v>9.1301940064093756E-2</v>
      </c>
      <c r="BJ9" s="20">
        <f t="shared" si="22"/>
        <v>0</v>
      </c>
      <c r="BK9" s="21"/>
      <c r="BL9" s="20">
        <v>11.225899999999999</v>
      </c>
      <c r="BM9" s="20"/>
      <c r="BN9" s="11">
        <f t="shared" si="23"/>
        <v>-0.79490000000000016</v>
      </c>
      <c r="BO9" s="12">
        <f t="shared" si="24"/>
        <v>-6.6127046452815141E-2</v>
      </c>
      <c r="BP9" s="20"/>
      <c r="BQ9" s="21"/>
      <c r="BR9" s="64">
        <v>11.225899999999999</v>
      </c>
      <c r="BS9" s="64"/>
      <c r="BT9" s="20">
        <v>9.2773000000000003</v>
      </c>
      <c r="BU9" s="20"/>
      <c r="BV9" s="11">
        <f t="shared" si="25"/>
        <v>-1.948599999999999</v>
      </c>
      <c r="BW9" s="12">
        <f t="shared" si="26"/>
        <v>-0.17358073740190089</v>
      </c>
      <c r="BX9" s="20"/>
      <c r="BY9" s="21"/>
    </row>
    <row r="10" spans="1:78" s="13" customFormat="1" ht="25.5" x14ac:dyDescent="0.25">
      <c r="A10" s="14" t="s">
        <v>17</v>
      </c>
      <c r="B10" s="15">
        <v>5.6269999999999998</v>
      </c>
      <c r="C10" s="16"/>
      <c r="D10" s="17">
        <v>1.2989999999999999</v>
      </c>
      <c r="E10" s="17"/>
      <c r="F10" s="16">
        <v>-4.3280000000000003</v>
      </c>
      <c r="G10" s="18">
        <v>-0.76910000000000001</v>
      </c>
      <c r="H10" s="19"/>
      <c r="I10" s="19"/>
      <c r="J10" s="20">
        <v>1.5229999999999999</v>
      </c>
      <c r="K10" s="20"/>
      <c r="L10" s="20">
        <f t="shared" si="0"/>
        <v>0.22399999999999998</v>
      </c>
      <c r="M10" s="21">
        <f t="shared" si="1"/>
        <v>0.17244033872209391</v>
      </c>
      <c r="N10" s="20"/>
      <c r="O10" s="21"/>
      <c r="P10" s="20">
        <v>6.7320000000000002</v>
      </c>
      <c r="Q10" s="20"/>
      <c r="R10" s="20">
        <f t="shared" si="2"/>
        <v>5.2090000000000005</v>
      </c>
      <c r="S10" s="21">
        <f t="shared" si="3"/>
        <v>3.4202232435981621</v>
      </c>
      <c r="T10" s="20"/>
      <c r="U10" s="21"/>
      <c r="V10" s="20">
        <v>3.6429999999999998</v>
      </c>
      <c r="W10" s="20"/>
      <c r="X10" s="20">
        <f t="shared" si="4"/>
        <v>-3.0890000000000004</v>
      </c>
      <c r="Y10" s="21">
        <f t="shared" si="5"/>
        <v>-0.45885323826500302</v>
      </c>
      <c r="Z10" s="20"/>
      <c r="AA10" s="21"/>
      <c r="AB10" s="20">
        <v>4.4774462000000002</v>
      </c>
      <c r="AC10" s="20"/>
      <c r="AD10" s="20">
        <f t="shared" si="6"/>
        <v>0.83444620000000036</v>
      </c>
      <c r="AE10" s="21">
        <f t="shared" si="7"/>
        <v>0.22905468020861938</v>
      </c>
      <c r="AF10" s="20"/>
      <c r="AG10" s="21"/>
      <c r="AH10" s="20">
        <v>7.2789000000000001</v>
      </c>
      <c r="AI10" s="20"/>
      <c r="AJ10" s="20">
        <f t="shared" si="8"/>
        <v>2.8014538</v>
      </c>
      <c r="AK10" s="21">
        <f t="shared" si="9"/>
        <v>0.62568117513059118</v>
      </c>
      <c r="AL10" s="20">
        <f t="shared" si="10"/>
        <v>0</v>
      </c>
      <c r="AM10" s="21"/>
      <c r="AN10" s="20">
        <v>11.254219669999999</v>
      </c>
      <c r="AO10" s="20"/>
      <c r="AP10" s="20">
        <f t="shared" si="11"/>
        <v>3.9753196699999993</v>
      </c>
      <c r="AQ10" s="21">
        <f t="shared" si="12"/>
        <v>0.54614291582519325</v>
      </c>
      <c r="AR10" s="20">
        <f t="shared" si="13"/>
        <v>0</v>
      </c>
      <c r="AS10" s="21"/>
      <c r="AT10" s="20">
        <v>3.6110115999999999</v>
      </c>
      <c r="AU10" s="20"/>
      <c r="AV10" s="11">
        <f t="shared" si="14"/>
        <v>-7.64320807</v>
      </c>
      <c r="AW10" s="12">
        <f t="shared" si="15"/>
        <v>-0.67914153927297571</v>
      </c>
      <c r="AX10" s="20">
        <f t="shared" si="16"/>
        <v>0</v>
      </c>
      <c r="AY10" s="21"/>
      <c r="AZ10" s="20">
        <v>9.6920999999999999</v>
      </c>
      <c r="BA10" s="20"/>
      <c r="BB10" s="11">
        <f t="shared" si="17"/>
        <v>6.0810884000000005</v>
      </c>
      <c r="BC10" s="12">
        <f t="shared" si="18"/>
        <v>1.6840401177332138</v>
      </c>
      <c r="BD10" s="20">
        <f t="shared" si="19"/>
        <v>0</v>
      </c>
      <c r="BE10" s="21"/>
      <c r="BF10" s="20">
        <v>18.6953</v>
      </c>
      <c r="BG10" s="20">
        <v>0</v>
      </c>
      <c r="BH10" s="11">
        <f t="shared" si="20"/>
        <v>9.0031999999999996</v>
      </c>
      <c r="BI10" s="12">
        <f t="shared" si="21"/>
        <v>0.92892149276214642</v>
      </c>
      <c r="BJ10" s="20">
        <f t="shared" si="22"/>
        <v>0</v>
      </c>
      <c r="BK10" s="21"/>
      <c r="BL10" s="20">
        <v>3.5992999999999999</v>
      </c>
      <c r="BM10" s="20"/>
      <c r="BN10" s="11">
        <f t="shared" si="23"/>
        <v>-15.096</v>
      </c>
      <c r="BO10" s="12">
        <f t="shared" si="24"/>
        <v>-0.80747567570458889</v>
      </c>
      <c r="BP10" s="20"/>
      <c r="BQ10" s="21"/>
      <c r="BR10" s="64">
        <v>3.5992999999999999</v>
      </c>
      <c r="BS10" s="64"/>
      <c r="BT10" s="20">
        <v>7.1093999999999999</v>
      </c>
      <c r="BU10" s="20"/>
      <c r="BV10" s="11">
        <f t="shared" si="25"/>
        <v>3.5101</v>
      </c>
      <c r="BW10" s="12">
        <f t="shared" si="26"/>
        <v>0.97521740338399132</v>
      </c>
      <c r="BX10" s="20"/>
      <c r="BY10" s="21"/>
    </row>
    <row r="11" spans="1:78" s="13" customFormat="1" ht="25.5" x14ac:dyDescent="0.25">
      <c r="A11" s="14" t="s">
        <v>18</v>
      </c>
      <c r="B11" s="15">
        <v>3.9209999999999998</v>
      </c>
      <c r="C11" s="16"/>
      <c r="D11" s="17">
        <v>1.758</v>
      </c>
      <c r="E11" s="17"/>
      <c r="F11" s="16">
        <v>-2.1629999999999998</v>
      </c>
      <c r="G11" s="18">
        <v>-0.55159999999999998</v>
      </c>
      <c r="H11" s="19"/>
      <c r="I11" s="19"/>
      <c r="J11" s="20">
        <v>3.9340000000000002</v>
      </c>
      <c r="K11" s="20"/>
      <c r="L11" s="20">
        <f t="shared" si="0"/>
        <v>2.1760000000000002</v>
      </c>
      <c r="M11" s="21">
        <f t="shared" si="1"/>
        <v>1.2377701934015928</v>
      </c>
      <c r="N11" s="20"/>
      <c r="O11" s="21"/>
      <c r="P11" s="20">
        <v>4.351</v>
      </c>
      <c r="Q11" s="20"/>
      <c r="R11" s="20">
        <f t="shared" si="2"/>
        <v>0.41699999999999982</v>
      </c>
      <c r="S11" s="21">
        <f t="shared" si="3"/>
        <v>0.10599898322318246</v>
      </c>
      <c r="T11" s="20"/>
      <c r="U11" s="21"/>
      <c r="V11" s="20">
        <v>2.2010000000000001</v>
      </c>
      <c r="W11" s="20"/>
      <c r="X11" s="20">
        <f t="shared" si="4"/>
        <v>-2.15</v>
      </c>
      <c r="Y11" s="21">
        <f t="shared" si="5"/>
        <v>-0.49413927832682142</v>
      </c>
      <c r="Z11" s="20"/>
      <c r="AA11" s="21"/>
      <c r="AB11" s="20">
        <v>1.22750399</v>
      </c>
      <c r="AC11" s="20"/>
      <c r="AD11" s="20">
        <f t="shared" si="6"/>
        <v>-0.97349601000000008</v>
      </c>
      <c r="AE11" s="21">
        <f t="shared" si="7"/>
        <v>-0.44229714220808725</v>
      </c>
      <c r="AF11" s="20"/>
      <c r="AG11" s="21"/>
      <c r="AH11" s="20">
        <v>3.4432</v>
      </c>
      <c r="AI11" s="20"/>
      <c r="AJ11" s="20">
        <f t="shared" si="8"/>
        <v>2.2156960100000003</v>
      </c>
      <c r="AK11" s="21">
        <f t="shared" si="9"/>
        <v>1.8050417986828704</v>
      </c>
      <c r="AL11" s="20">
        <f t="shared" si="10"/>
        <v>0</v>
      </c>
      <c r="AM11" s="21"/>
      <c r="AN11" s="20">
        <v>3.2542937200000002</v>
      </c>
      <c r="AO11" s="20"/>
      <c r="AP11" s="20">
        <f t="shared" si="11"/>
        <v>-0.18890627999999987</v>
      </c>
      <c r="AQ11" s="21">
        <f t="shared" si="12"/>
        <v>-5.4863580390334538E-2</v>
      </c>
      <c r="AR11" s="20">
        <f t="shared" si="13"/>
        <v>0</v>
      </c>
      <c r="AS11" s="21"/>
      <c r="AT11" s="20">
        <v>4.3916569699999997</v>
      </c>
      <c r="AU11" s="20"/>
      <c r="AV11" s="11">
        <f t="shared" si="14"/>
        <v>1.1373632499999995</v>
      </c>
      <c r="AW11" s="12">
        <f t="shared" si="15"/>
        <v>0.3494961880699568</v>
      </c>
      <c r="AX11" s="20">
        <f t="shared" si="16"/>
        <v>0</v>
      </c>
      <c r="AY11" s="21"/>
      <c r="AZ11" s="20">
        <v>4.3482000000000003</v>
      </c>
      <c r="BA11" s="20"/>
      <c r="BB11" s="11">
        <f t="shared" si="17"/>
        <v>-4.3456969999999373E-2</v>
      </c>
      <c r="BC11" s="12">
        <f t="shared" si="18"/>
        <v>-9.8953470858174457E-3</v>
      </c>
      <c r="BD11" s="20">
        <f t="shared" si="19"/>
        <v>0</v>
      </c>
      <c r="BE11" s="21"/>
      <c r="BF11" s="20">
        <f>0.0046032*1000</f>
        <v>4.6032000000000002</v>
      </c>
      <c r="BG11" s="20">
        <v>0</v>
      </c>
      <c r="BH11" s="11">
        <f t="shared" si="20"/>
        <v>0.25499999999999989</v>
      </c>
      <c r="BI11" s="12">
        <f t="shared" si="21"/>
        <v>5.8644956533738073E-2</v>
      </c>
      <c r="BJ11" s="20">
        <f t="shared" si="22"/>
        <v>0</v>
      </c>
      <c r="BK11" s="21"/>
      <c r="BL11" s="20">
        <v>5.8734999999999999</v>
      </c>
      <c r="BM11" s="20"/>
      <c r="BN11" s="11">
        <f t="shared" si="23"/>
        <v>1.2702999999999998</v>
      </c>
      <c r="BO11" s="12">
        <f t="shared" si="24"/>
        <v>0.27596020159888768</v>
      </c>
      <c r="BP11" s="20"/>
      <c r="BQ11" s="21"/>
      <c r="BR11" s="64">
        <v>5.8734999999999999</v>
      </c>
      <c r="BS11" s="64"/>
      <c r="BT11" s="20">
        <v>3.59</v>
      </c>
      <c r="BU11" s="20"/>
      <c r="BV11" s="11">
        <f t="shared" si="25"/>
        <v>-2.2835000000000001</v>
      </c>
      <c r="BW11" s="12">
        <f t="shared" si="26"/>
        <v>-0.3887801140716779</v>
      </c>
      <c r="BX11" s="20"/>
      <c r="BY11" s="21"/>
    </row>
    <row r="12" spans="1:78" s="13" customFormat="1" ht="25.5" x14ac:dyDescent="0.25">
      <c r="A12" s="14" t="s">
        <v>19</v>
      </c>
      <c r="B12" s="15">
        <v>1.4710000000000001</v>
      </c>
      <c r="C12" s="16"/>
      <c r="D12" s="17">
        <v>1.6739999999999999</v>
      </c>
      <c r="E12" s="17"/>
      <c r="F12" s="16">
        <v>0.20300000000000001</v>
      </c>
      <c r="G12" s="18">
        <v>0.13800000000000001</v>
      </c>
      <c r="H12" s="19"/>
      <c r="I12" s="19"/>
      <c r="J12" s="20">
        <v>2.8959999999999999</v>
      </c>
      <c r="K12" s="20"/>
      <c r="L12" s="20">
        <f t="shared" si="0"/>
        <v>1.222</v>
      </c>
      <c r="M12" s="21">
        <f t="shared" si="1"/>
        <v>0.7299880525686977</v>
      </c>
      <c r="N12" s="20"/>
      <c r="O12" s="21"/>
      <c r="P12" s="20">
        <v>2.5270000000000001</v>
      </c>
      <c r="Q12" s="20"/>
      <c r="R12" s="20">
        <f t="shared" si="2"/>
        <v>-0.36899999999999977</v>
      </c>
      <c r="S12" s="21">
        <f t="shared" si="3"/>
        <v>-0.12741712707182312</v>
      </c>
      <c r="T12" s="20"/>
      <c r="U12" s="21"/>
      <c r="V12" s="20">
        <v>2.54</v>
      </c>
      <c r="W12" s="20"/>
      <c r="X12" s="20">
        <f t="shared" si="4"/>
        <v>1.2999999999999901E-2</v>
      </c>
      <c r="Y12" s="21">
        <f t="shared" si="5"/>
        <v>5.1444400474870994E-3</v>
      </c>
      <c r="Z12" s="20"/>
      <c r="AA12" s="21"/>
      <c r="AB12" s="20">
        <v>7.9542080000000001E-2</v>
      </c>
      <c r="AC12" s="20"/>
      <c r="AD12" s="20">
        <f t="shared" si="6"/>
        <v>-2.4604579200000001</v>
      </c>
      <c r="AE12" s="21">
        <f t="shared" si="7"/>
        <v>-0.96868422047244096</v>
      </c>
      <c r="AF12" s="20"/>
      <c r="AG12" s="21"/>
      <c r="AH12" s="20">
        <v>1.9513</v>
      </c>
      <c r="AI12" s="20"/>
      <c r="AJ12" s="20">
        <f t="shared" si="8"/>
        <v>1.8717579200000001</v>
      </c>
      <c r="AK12" s="21">
        <f t="shared" si="9"/>
        <v>23.531669274929698</v>
      </c>
      <c r="AL12" s="20">
        <f t="shared" si="10"/>
        <v>0</v>
      </c>
      <c r="AM12" s="21"/>
      <c r="AN12" s="20">
        <v>3.3731119600000001</v>
      </c>
      <c r="AO12" s="20"/>
      <c r="AP12" s="20">
        <f t="shared" si="11"/>
        <v>1.4218119600000001</v>
      </c>
      <c r="AQ12" s="21">
        <f t="shared" si="12"/>
        <v>0.72864857274637429</v>
      </c>
      <c r="AR12" s="20">
        <f t="shared" si="13"/>
        <v>0</v>
      </c>
      <c r="AS12" s="21"/>
      <c r="AT12" s="20">
        <v>2.20103E-2</v>
      </c>
      <c r="AU12" s="20"/>
      <c r="AV12" s="11">
        <f t="shared" si="14"/>
        <v>-3.3511016600000003</v>
      </c>
      <c r="AW12" s="12">
        <f t="shared" si="15"/>
        <v>-0.99347477929549666</v>
      </c>
      <c r="AX12" s="20">
        <f t="shared" si="16"/>
        <v>0</v>
      </c>
      <c r="AY12" s="21"/>
      <c r="AZ12" s="20">
        <v>2.0108000000000001</v>
      </c>
      <c r="BA12" s="20"/>
      <c r="BB12" s="11">
        <f t="shared" si="17"/>
        <v>1.9887897000000001</v>
      </c>
      <c r="BC12" s="12">
        <f t="shared" si="18"/>
        <v>90.35722820679409</v>
      </c>
      <c r="BD12" s="20">
        <f t="shared" si="19"/>
        <v>0</v>
      </c>
      <c r="BE12" s="21"/>
      <c r="BF12" s="20">
        <f>0.0023412*1000</f>
        <v>2.3411999999999997</v>
      </c>
      <c r="BG12" s="20">
        <v>0</v>
      </c>
      <c r="BH12" s="11">
        <f t="shared" si="20"/>
        <v>0.33039999999999958</v>
      </c>
      <c r="BI12" s="12">
        <f t="shared" si="21"/>
        <v>0.16431271135866299</v>
      </c>
      <c r="BJ12" s="20">
        <f t="shared" si="22"/>
        <v>0</v>
      </c>
      <c r="BK12" s="21"/>
      <c r="BL12" s="20">
        <v>1.17E-2</v>
      </c>
      <c r="BM12" s="20"/>
      <c r="BN12" s="11">
        <f t="shared" si="23"/>
        <v>-2.3294999999999999</v>
      </c>
      <c r="BO12" s="12">
        <f t="shared" si="24"/>
        <v>-0.99500256278831378</v>
      </c>
      <c r="BP12" s="20"/>
      <c r="BQ12" s="21"/>
      <c r="BR12" s="64">
        <v>1.17E-2</v>
      </c>
      <c r="BS12" s="64"/>
      <c r="BT12" s="20">
        <v>2.6781999999999999</v>
      </c>
      <c r="BU12" s="20"/>
      <c r="BV12" s="11">
        <f t="shared" si="25"/>
        <v>2.6665000000000001</v>
      </c>
      <c r="BW12" s="12">
        <f t="shared" si="26"/>
        <v>227.90598290598291</v>
      </c>
      <c r="BX12" s="20"/>
      <c r="BY12" s="21"/>
    </row>
    <row r="13" spans="1:78" s="13" customFormat="1" ht="25.5" x14ac:dyDescent="0.25">
      <c r="A13" s="14" t="s">
        <v>20</v>
      </c>
      <c r="B13" s="15">
        <v>2.9049999999999998</v>
      </c>
      <c r="C13" s="16"/>
      <c r="D13" s="17">
        <v>2.8220000000000001</v>
      </c>
      <c r="E13" s="17"/>
      <c r="F13" s="16">
        <v>-8.3000000000000004E-2</v>
      </c>
      <c r="G13" s="18">
        <v>-2.86E-2</v>
      </c>
      <c r="H13" s="19"/>
      <c r="I13" s="19"/>
      <c r="J13" s="20">
        <v>3.8210000000000002</v>
      </c>
      <c r="K13" s="20"/>
      <c r="L13" s="20">
        <f t="shared" si="0"/>
        <v>0.99900000000000011</v>
      </c>
      <c r="M13" s="21">
        <f t="shared" si="1"/>
        <v>0.35400425230333099</v>
      </c>
      <c r="N13" s="20"/>
      <c r="O13" s="21"/>
      <c r="P13" s="20">
        <v>2.847</v>
      </c>
      <c r="Q13" s="20"/>
      <c r="R13" s="20">
        <f t="shared" si="2"/>
        <v>-0.9740000000000002</v>
      </c>
      <c r="S13" s="21">
        <f t="shared" si="3"/>
        <v>-0.25490709238419268</v>
      </c>
      <c r="T13" s="20"/>
      <c r="U13" s="21"/>
      <c r="V13" s="20">
        <v>2.427</v>
      </c>
      <c r="W13" s="20"/>
      <c r="X13" s="20">
        <f t="shared" si="4"/>
        <v>-0.41999999999999993</v>
      </c>
      <c r="Y13" s="21">
        <f t="shared" si="5"/>
        <v>-0.14752370916754476</v>
      </c>
      <c r="Z13" s="20"/>
      <c r="AA13" s="21"/>
      <c r="AB13" s="20">
        <v>8.1927369999999999E-2</v>
      </c>
      <c r="AC13" s="20"/>
      <c r="AD13" s="20">
        <f t="shared" si="6"/>
        <v>-2.3450726300000002</v>
      </c>
      <c r="AE13" s="21">
        <f t="shared" si="7"/>
        <v>-0.96624335805521222</v>
      </c>
      <c r="AF13" s="20"/>
      <c r="AG13" s="21"/>
      <c r="AH13" s="20">
        <v>2.8290999999999999</v>
      </c>
      <c r="AI13" s="20"/>
      <c r="AJ13" s="20">
        <f t="shared" si="8"/>
        <v>2.7471726300000001</v>
      </c>
      <c r="AK13" s="21">
        <f t="shared" si="9"/>
        <v>33.531805427172877</v>
      </c>
      <c r="AL13" s="20">
        <f t="shared" si="10"/>
        <v>0</v>
      </c>
      <c r="AM13" s="21"/>
      <c r="AN13" s="20">
        <v>2.5988433199999998</v>
      </c>
      <c r="AO13" s="20"/>
      <c r="AP13" s="20">
        <f t="shared" si="11"/>
        <v>-0.2302566800000001</v>
      </c>
      <c r="AQ13" s="21">
        <f t="shared" si="12"/>
        <v>-8.1388667774203852E-2</v>
      </c>
      <c r="AR13" s="20">
        <f t="shared" si="13"/>
        <v>0</v>
      </c>
      <c r="AS13" s="21"/>
      <c r="AT13" s="20">
        <v>9.9613090000000001E-2</v>
      </c>
      <c r="AU13" s="20"/>
      <c r="AV13" s="11">
        <f t="shared" si="14"/>
        <v>-2.4992302299999998</v>
      </c>
      <c r="AW13" s="12">
        <f t="shared" si="15"/>
        <v>-0.96167022104279831</v>
      </c>
      <c r="AX13" s="20">
        <f t="shared" si="16"/>
        <v>0</v>
      </c>
      <c r="AY13" s="21"/>
      <c r="AZ13" s="20">
        <v>2.9701</v>
      </c>
      <c r="BA13" s="20"/>
      <c r="BB13" s="11">
        <f t="shared" si="17"/>
        <v>2.8704869099999999</v>
      </c>
      <c r="BC13" s="12">
        <f t="shared" si="18"/>
        <v>28.816362488102715</v>
      </c>
      <c r="BD13" s="20">
        <f t="shared" si="19"/>
        <v>0</v>
      </c>
      <c r="BE13" s="21"/>
      <c r="BF13" s="20">
        <f>0.0027736*1000</f>
        <v>2.7736000000000001</v>
      </c>
      <c r="BG13" s="20">
        <v>0</v>
      </c>
      <c r="BH13" s="11">
        <f t="shared" si="20"/>
        <v>-0.1964999999999999</v>
      </c>
      <c r="BI13" s="12">
        <f t="shared" si="21"/>
        <v>-6.6159388572775299E-2</v>
      </c>
      <c r="BJ13" s="20">
        <f t="shared" si="22"/>
        <v>0</v>
      </c>
      <c r="BK13" s="21"/>
      <c r="BL13" s="20">
        <v>7.8299999999999995E-2</v>
      </c>
      <c r="BM13" s="20"/>
      <c r="BN13" s="11">
        <f t="shared" si="23"/>
        <v>-2.6953</v>
      </c>
      <c r="BO13" s="12">
        <f t="shared" si="24"/>
        <v>-0.97176954139025096</v>
      </c>
      <c r="BP13" s="20"/>
      <c r="BQ13" s="21"/>
      <c r="BR13" s="64">
        <v>7.8299999999999995E-2</v>
      </c>
      <c r="BS13" s="64"/>
      <c r="BT13" s="20">
        <v>3.4558</v>
      </c>
      <c r="BU13" s="20"/>
      <c r="BV13" s="11">
        <f t="shared" si="25"/>
        <v>3.3774999999999999</v>
      </c>
      <c r="BW13" s="12">
        <f t="shared" si="26"/>
        <v>43.135376756066414</v>
      </c>
      <c r="BX13" s="20"/>
      <c r="BY13" s="21"/>
    </row>
    <row r="14" spans="1:78" s="13" customFormat="1" ht="25.5" x14ac:dyDescent="0.25">
      <c r="A14" s="14" t="s">
        <v>21</v>
      </c>
      <c r="B14" s="15">
        <v>7.149</v>
      </c>
      <c r="C14" s="16"/>
      <c r="D14" s="17">
        <v>5.9580000000000002</v>
      </c>
      <c r="E14" s="17"/>
      <c r="F14" s="16">
        <v>-1.1910000000000001</v>
      </c>
      <c r="G14" s="18">
        <v>-0.1666</v>
      </c>
      <c r="H14" s="19"/>
      <c r="I14" s="19"/>
      <c r="J14" s="20">
        <v>0.40400000000000003</v>
      </c>
      <c r="K14" s="20"/>
      <c r="L14" s="20">
        <f t="shared" si="0"/>
        <v>-5.5540000000000003</v>
      </c>
      <c r="M14" s="21">
        <f t="shared" si="1"/>
        <v>-0.93219201074185976</v>
      </c>
      <c r="N14" s="20"/>
      <c r="O14" s="21"/>
      <c r="P14" s="20">
        <v>7.3470000000000004</v>
      </c>
      <c r="Q14" s="20"/>
      <c r="R14" s="20">
        <f t="shared" si="2"/>
        <v>6.9430000000000005</v>
      </c>
      <c r="S14" s="21">
        <f t="shared" si="3"/>
        <v>17.185643564356436</v>
      </c>
      <c r="T14" s="20"/>
      <c r="U14" s="21"/>
      <c r="V14" s="20">
        <v>6.7279999999999998</v>
      </c>
      <c r="W14" s="20"/>
      <c r="X14" s="20">
        <f t="shared" si="4"/>
        <v>-0.61900000000000066</v>
      </c>
      <c r="Y14" s="21">
        <f t="shared" si="5"/>
        <v>-8.4252075677147223E-2</v>
      </c>
      <c r="Z14" s="20"/>
      <c r="AA14" s="21"/>
      <c r="AB14" s="20">
        <v>0.18393799</v>
      </c>
      <c r="AC14" s="20"/>
      <c r="AD14" s="20">
        <f t="shared" si="6"/>
        <v>-6.5440620099999993</v>
      </c>
      <c r="AE14" s="21">
        <f t="shared" si="7"/>
        <v>-0.97266082193816883</v>
      </c>
      <c r="AF14" s="20"/>
      <c r="AG14" s="21"/>
      <c r="AH14" s="20">
        <v>8.4678000000000004</v>
      </c>
      <c r="AI14" s="20"/>
      <c r="AJ14" s="20">
        <f t="shared" si="8"/>
        <v>8.28386201</v>
      </c>
      <c r="AK14" s="21">
        <f t="shared" si="9"/>
        <v>45.036166862538835</v>
      </c>
      <c r="AL14" s="20">
        <f t="shared" si="10"/>
        <v>0</v>
      </c>
      <c r="AM14" s="21"/>
      <c r="AN14" s="20">
        <v>7.6778760300000002</v>
      </c>
      <c r="AO14" s="20"/>
      <c r="AP14" s="20">
        <f t="shared" si="11"/>
        <v>-0.78992397000000025</v>
      </c>
      <c r="AQ14" s="21">
        <f t="shared" si="12"/>
        <v>-9.3285619641465339E-2</v>
      </c>
      <c r="AR14" s="20">
        <f t="shared" si="13"/>
        <v>0</v>
      </c>
      <c r="AS14" s="21"/>
      <c r="AT14" s="20">
        <v>0.23437773000000001</v>
      </c>
      <c r="AU14" s="20"/>
      <c r="AV14" s="11">
        <f t="shared" si="14"/>
        <v>-7.4434982999999999</v>
      </c>
      <c r="AW14" s="12">
        <f t="shared" si="15"/>
        <v>-0.96947362407465176</v>
      </c>
      <c r="AX14" s="20">
        <f t="shared" si="16"/>
        <v>0</v>
      </c>
      <c r="AY14" s="21"/>
      <c r="AZ14" s="20">
        <v>8.1684000000000001</v>
      </c>
      <c r="BA14" s="20"/>
      <c r="BB14" s="11">
        <f t="shared" si="17"/>
        <v>7.9340222699999998</v>
      </c>
      <c r="BC14" s="12">
        <f t="shared" si="18"/>
        <v>33.851434050496181</v>
      </c>
      <c r="BD14" s="20">
        <f t="shared" si="19"/>
        <v>0</v>
      </c>
      <c r="BE14" s="21"/>
      <c r="BF14" s="20">
        <f>0.0097883*1000</f>
        <v>9.7882999999999996</v>
      </c>
      <c r="BG14" s="20">
        <v>0</v>
      </c>
      <c r="BH14" s="11">
        <f t="shared" si="20"/>
        <v>1.6198999999999995</v>
      </c>
      <c r="BI14" s="12">
        <f t="shared" si="21"/>
        <v>0.19831301111600796</v>
      </c>
      <c r="BJ14" s="20">
        <f t="shared" si="22"/>
        <v>0</v>
      </c>
      <c r="BK14" s="21"/>
      <c r="BL14" s="20">
        <v>0.27089999999999997</v>
      </c>
      <c r="BM14" s="20"/>
      <c r="BN14" s="11">
        <f t="shared" si="23"/>
        <v>-9.5174000000000003</v>
      </c>
      <c r="BO14" s="12">
        <f t="shared" si="24"/>
        <v>-0.97232410122288859</v>
      </c>
      <c r="BP14" s="20"/>
      <c r="BQ14" s="21"/>
      <c r="BR14" s="64">
        <v>0.27310000000000001</v>
      </c>
      <c r="BS14" s="64"/>
      <c r="BT14" s="20">
        <v>10.394399999999999</v>
      </c>
      <c r="BU14" s="20"/>
      <c r="BV14" s="11">
        <f t="shared" si="25"/>
        <v>10.1213</v>
      </c>
      <c r="BW14" s="12">
        <f t="shared" si="26"/>
        <v>37.060783595752468</v>
      </c>
      <c r="BX14" s="20"/>
      <c r="BY14" s="21"/>
    </row>
    <row r="15" spans="1:78" s="13" customFormat="1" ht="25.5" x14ac:dyDescent="0.25">
      <c r="A15" s="5" t="s">
        <v>22</v>
      </c>
      <c r="B15" s="15">
        <v>28.456</v>
      </c>
      <c r="C15" s="16"/>
      <c r="D15" s="17">
        <v>14.064</v>
      </c>
      <c r="E15" s="17"/>
      <c r="F15" s="16">
        <v>-14.391999999999999</v>
      </c>
      <c r="G15" s="18">
        <v>-0.50580000000000003</v>
      </c>
      <c r="H15" s="19"/>
      <c r="I15" s="19"/>
      <c r="J15" s="20">
        <v>23.023</v>
      </c>
      <c r="K15" s="20"/>
      <c r="L15" s="20">
        <f t="shared" si="0"/>
        <v>8.9589999999999996</v>
      </c>
      <c r="M15" s="21">
        <f t="shared" si="1"/>
        <v>0.63701649601820243</v>
      </c>
      <c r="N15" s="20"/>
      <c r="O15" s="21"/>
      <c r="P15" s="20">
        <v>33.582000000000001</v>
      </c>
      <c r="Q15" s="20"/>
      <c r="R15" s="20">
        <f t="shared" si="2"/>
        <v>10.559000000000001</v>
      </c>
      <c r="S15" s="21">
        <f t="shared" si="3"/>
        <v>0.45862832819354565</v>
      </c>
      <c r="T15" s="20"/>
      <c r="U15" s="21"/>
      <c r="V15" s="20">
        <v>36.012</v>
      </c>
      <c r="W15" s="20"/>
      <c r="X15" s="20">
        <f t="shared" si="4"/>
        <v>2.4299999999999997</v>
      </c>
      <c r="Y15" s="21">
        <f t="shared" si="5"/>
        <v>7.2360192960514547E-2</v>
      </c>
      <c r="Z15" s="20"/>
      <c r="AA15" s="21"/>
      <c r="AB15" s="20">
        <v>38.178203740000001</v>
      </c>
      <c r="AC15" s="20"/>
      <c r="AD15" s="20">
        <f t="shared" si="6"/>
        <v>2.1662037400000003</v>
      </c>
      <c r="AE15" s="21">
        <f t="shared" si="7"/>
        <v>6.0152275352660232E-2</v>
      </c>
      <c r="AF15" s="20"/>
      <c r="AG15" s="21"/>
      <c r="AH15" s="20">
        <v>30.014600000000002</v>
      </c>
      <c r="AI15" s="20"/>
      <c r="AJ15" s="20">
        <f t="shared" si="8"/>
        <v>-8.1636037399999992</v>
      </c>
      <c r="AK15" s="21">
        <f t="shared" si="9"/>
        <v>-0.21382891127082657</v>
      </c>
      <c r="AL15" s="20">
        <f t="shared" si="10"/>
        <v>0</v>
      </c>
      <c r="AM15" s="21"/>
      <c r="AN15" s="20">
        <v>28.977809820000001</v>
      </c>
      <c r="AO15" s="20"/>
      <c r="AP15" s="20">
        <f t="shared" si="11"/>
        <v>-1.0367901800000006</v>
      </c>
      <c r="AQ15" s="21">
        <f t="shared" si="12"/>
        <v>-3.454286180725382E-2</v>
      </c>
      <c r="AR15" s="20">
        <f t="shared" si="13"/>
        <v>0</v>
      </c>
      <c r="AS15" s="21"/>
      <c r="AT15" s="20">
        <v>39.238368729999998</v>
      </c>
      <c r="AU15" s="20"/>
      <c r="AV15" s="11">
        <f t="shared" si="14"/>
        <v>10.260558909999997</v>
      </c>
      <c r="AW15" s="12">
        <f t="shared" si="15"/>
        <v>0.35408331318809094</v>
      </c>
      <c r="AX15" s="20">
        <f t="shared" si="16"/>
        <v>0</v>
      </c>
      <c r="AY15" s="21"/>
      <c r="AZ15" s="20">
        <v>24.362500000000001</v>
      </c>
      <c r="BA15" s="20"/>
      <c r="BB15" s="11">
        <f t="shared" si="17"/>
        <v>-14.875868729999997</v>
      </c>
      <c r="BC15" s="12">
        <f t="shared" si="18"/>
        <v>-0.37911537129285744</v>
      </c>
      <c r="BD15" s="20">
        <f t="shared" si="19"/>
        <v>0</v>
      </c>
      <c r="BE15" s="21"/>
      <c r="BF15" s="20">
        <f>0.0205199*1000</f>
        <v>20.5199</v>
      </c>
      <c r="BG15" s="20">
        <v>0</v>
      </c>
      <c r="BH15" s="11">
        <f t="shared" si="20"/>
        <v>-3.8426000000000009</v>
      </c>
      <c r="BI15" s="12">
        <f t="shared" si="21"/>
        <v>-0.15772601334017447</v>
      </c>
      <c r="BJ15" s="20">
        <f t="shared" si="22"/>
        <v>0</v>
      </c>
      <c r="BK15" s="21"/>
      <c r="BL15" s="20">
        <v>17.8596</v>
      </c>
      <c r="BM15" s="20"/>
      <c r="BN15" s="11">
        <f t="shared" si="23"/>
        <v>-2.6602999999999994</v>
      </c>
      <c r="BO15" s="12">
        <f t="shared" si="24"/>
        <v>-0.12964488131033775</v>
      </c>
      <c r="BP15" s="20"/>
      <c r="BQ15" s="21"/>
      <c r="BR15" s="64">
        <v>17.8596</v>
      </c>
      <c r="BS15" s="64"/>
      <c r="BT15" s="20">
        <v>23.3142</v>
      </c>
      <c r="BU15" s="20"/>
      <c r="BV15" s="11">
        <f t="shared" si="25"/>
        <v>5.4545999999999992</v>
      </c>
      <c r="BW15" s="12">
        <f t="shared" si="26"/>
        <v>0.30541557481690512</v>
      </c>
      <c r="BX15" s="20"/>
      <c r="BY15" s="21"/>
    </row>
    <row r="16" spans="1:78" s="13" customFormat="1" ht="25.5" x14ac:dyDescent="0.25">
      <c r="A16" s="5" t="s">
        <v>67</v>
      </c>
      <c r="B16" s="15">
        <v>28.937000000000001</v>
      </c>
      <c r="C16" s="16"/>
      <c r="D16" s="17">
        <v>20.771999999999998</v>
      </c>
      <c r="E16" s="17"/>
      <c r="F16" s="16">
        <v>-8.1649999999999991</v>
      </c>
      <c r="G16" s="18">
        <v>-0.28220000000000001</v>
      </c>
      <c r="H16" s="19"/>
      <c r="I16" s="19"/>
      <c r="J16" s="20">
        <v>81.722999999999999</v>
      </c>
      <c r="K16" s="20"/>
      <c r="L16" s="20">
        <f t="shared" si="0"/>
        <v>60.951000000000001</v>
      </c>
      <c r="M16" s="21">
        <f t="shared" si="1"/>
        <v>2.9342865395725015</v>
      </c>
      <c r="N16" s="20"/>
      <c r="O16" s="21"/>
      <c r="P16" s="20">
        <v>129.53</v>
      </c>
      <c r="Q16" s="20">
        <v>11.395</v>
      </c>
      <c r="R16" s="20">
        <f t="shared" si="2"/>
        <v>47.807000000000002</v>
      </c>
      <c r="S16" s="21">
        <f t="shared" si="3"/>
        <v>0.58498831418327768</v>
      </c>
      <c r="T16" s="20">
        <f>Q16-K16</f>
        <v>11.395</v>
      </c>
      <c r="U16" s="21"/>
      <c r="V16" s="20">
        <v>73.685000000000002</v>
      </c>
      <c r="W16" s="20"/>
      <c r="X16" s="20">
        <f t="shared" si="4"/>
        <v>-55.844999999999999</v>
      </c>
      <c r="Y16" s="21">
        <f t="shared" si="5"/>
        <v>-0.43113564425229678</v>
      </c>
      <c r="Z16" s="20">
        <f>W16-Q16</f>
        <v>-11.395</v>
      </c>
      <c r="AA16" s="21">
        <f>Z16/Q16</f>
        <v>-1</v>
      </c>
      <c r="AB16" s="20">
        <v>19.065490690000001</v>
      </c>
      <c r="AC16" s="20"/>
      <c r="AD16" s="20">
        <f t="shared" si="6"/>
        <v>-54.619509309999998</v>
      </c>
      <c r="AE16" s="21">
        <f t="shared" si="7"/>
        <v>-0.74125682716970887</v>
      </c>
      <c r="AF16" s="20"/>
      <c r="AG16" s="21"/>
      <c r="AH16" s="20">
        <v>22.823599999999999</v>
      </c>
      <c r="AI16" s="20"/>
      <c r="AJ16" s="20">
        <f t="shared" si="8"/>
        <v>3.7581093099999983</v>
      </c>
      <c r="AK16" s="21">
        <f t="shared" si="9"/>
        <v>0.19711579266990259</v>
      </c>
      <c r="AL16" s="20">
        <f t="shared" si="10"/>
        <v>0</v>
      </c>
      <c r="AM16" s="21"/>
      <c r="AN16" s="20">
        <v>20.32773478</v>
      </c>
      <c r="AO16" s="20"/>
      <c r="AP16" s="20">
        <f t="shared" si="11"/>
        <v>-2.4958652199999989</v>
      </c>
      <c r="AQ16" s="21">
        <f t="shared" si="12"/>
        <v>-0.10935458122294463</v>
      </c>
      <c r="AR16" s="20">
        <f t="shared" si="13"/>
        <v>0</v>
      </c>
      <c r="AS16" s="21"/>
      <c r="AT16" s="20">
        <v>37.584357820000001</v>
      </c>
      <c r="AU16" s="20"/>
      <c r="AV16" s="11">
        <f t="shared" si="14"/>
        <v>17.256623040000001</v>
      </c>
      <c r="AW16" s="12">
        <f t="shared" si="15"/>
        <v>0.84892011956877766</v>
      </c>
      <c r="AX16" s="20">
        <f t="shared" si="16"/>
        <v>0</v>
      </c>
      <c r="AY16" s="21"/>
      <c r="AZ16" s="20">
        <v>33.998399999999997</v>
      </c>
      <c r="BA16" s="20"/>
      <c r="BB16" s="11">
        <f t="shared" si="17"/>
        <v>-3.5859578200000044</v>
      </c>
      <c r="BC16" s="12">
        <f t="shared" si="18"/>
        <v>-9.5410911027772993E-2</v>
      </c>
      <c r="BD16" s="20">
        <f t="shared" si="19"/>
        <v>0</v>
      </c>
      <c r="BE16" s="21"/>
      <c r="BF16" s="20">
        <f>0.0451366*1000</f>
        <v>45.136600000000001</v>
      </c>
      <c r="BG16" s="20">
        <v>0</v>
      </c>
      <c r="BH16" s="11">
        <f t="shared" si="20"/>
        <v>11.138200000000005</v>
      </c>
      <c r="BI16" s="12">
        <f t="shared" si="21"/>
        <v>0.32760953456633268</v>
      </c>
      <c r="BJ16" s="20">
        <f t="shared" si="22"/>
        <v>0</v>
      </c>
      <c r="BK16" s="21"/>
      <c r="BL16" s="20">
        <v>45.0015</v>
      </c>
      <c r="BM16" s="20"/>
      <c r="BN16" s="11">
        <f t="shared" si="23"/>
        <v>-0.13510000000000133</v>
      </c>
      <c r="BO16" s="12">
        <f t="shared" si="24"/>
        <v>-2.9931363904237653E-3</v>
      </c>
      <c r="BP16" s="20"/>
      <c r="BQ16" s="21"/>
      <c r="BR16" s="64">
        <v>45.0015</v>
      </c>
      <c r="BS16" s="64"/>
      <c r="BT16" s="20">
        <v>49.214500000000001</v>
      </c>
      <c r="BU16" s="20">
        <v>17.190999999999999</v>
      </c>
      <c r="BV16" s="11">
        <f t="shared" si="25"/>
        <v>4.213000000000001</v>
      </c>
      <c r="BW16" s="12">
        <f t="shared" si="26"/>
        <v>9.3619101585502726E-2</v>
      </c>
      <c r="BX16" s="20">
        <f>BU16-BS16</f>
        <v>17.190999999999999</v>
      </c>
      <c r="BY16" s="21"/>
      <c r="BZ16" s="35"/>
    </row>
    <row r="17" spans="1:78" s="13" customFormat="1" ht="25.5" x14ac:dyDescent="0.25">
      <c r="A17" s="5" t="s">
        <v>23</v>
      </c>
      <c r="B17" s="15">
        <v>19.152999999999999</v>
      </c>
      <c r="C17" s="16"/>
      <c r="D17" s="17">
        <v>23.158000000000001</v>
      </c>
      <c r="E17" s="17"/>
      <c r="F17" s="16">
        <v>4.0049999999999999</v>
      </c>
      <c r="G17" s="18">
        <v>0.20910000000000001</v>
      </c>
      <c r="H17" s="19"/>
      <c r="I17" s="19"/>
      <c r="J17" s="20">
        <v>2.073</v>
      </c>
      <c r="K17" s="20"/>
      <c r="L17" s="20">
        <f t="shared" si="0"/>
        <v>-21.085000000000001</v>
      </c>
      <c r="M17" s="21">
        <f t="shared" si="1"/>
        <v>-0.91048449779773732</v>
      </c>
      <c r="N17" s="20"/>
      <c r="O17" s="21"/>
      <c r="P17" s="20">
        <v>30.117999999999999</v>
      </c>
      <c r="Q17" s="20"/>
      <c r="R17" s="20">
        <f t="shared" si="2"/>
        <v>28.044999999999998</v>
      </c>
      <c r="S17" s="21">
        <f t="shared" si="3"/>
        <v>13.52870236372407</v>
      </c>
      <c r="T17" s="20"/>
      <c r="U17" s="21"/>
      <c r="V17" s="20">
        <v>36.085999999999999</v>
      </c>
      <c r="W17" s="20">
        <v>9.391</v>
      </c>
      <c r="X17" s="20">
        <f t="shared" si="4"/>
        <v>5.968</v>
      </c>
      <c r="Y17" s="21">
        <f t="shared" si="5"/>
        <v>0.19815392788365763</v>
      </c>
      <c r="Z17" s="20">
        <f>W17-Q17</f>
        <v>9.391</v>
      </c>
      <c r="AA17" s="21"/>
      <c r="AB17" s="20"/>
      <c r="AC17" s="20"/>
      <c r="AD17" s="20">
        <f t="shared" si="6"/>
        <v>-36.085999999999999</v>
      </c>
      <c r="AE17" s="21">
        <f t="shared" si="7"/>
        <v>-1</v>
      </c>
      <c r="AF17" s="20">
        <f>AC17-W17</f>
        <v>-9.391</v>
      </c>
      <c r="AG17" s="21">
        <f>AF17/W17</f>
        <v>-1</v>
      </c>
      <c r="AH17" s="20">
        <v>21.148399999999999</v>
      </c>
      <c r="AI17" s="20"/>
      <c r="AJ17" s="20">
        <f t="shared" si="8"/>
        <v>21.148399999999999</v>
      </c>
      <c r="AK17" s="21"/>
      <c r="AL17" s="20">
        <f t="shared" si="10"/>
        <v>0</v>
      </c>
      <c r="AM17" s="21"/>
      <c r="AN17" s="20">
        <v>20.006375429999999</v>
      </c>
      <c r="AO17" s="20"/>
      <c r="AP17" s="20">
        <f t="shared" si="11"/>
        <v>-1.1420245700000002</v>
      </c>
      <c r="AQ17" s="21"/>
      <c r="AR17" s="20">
        <f t="shared" si="13"/>
        <v>0</v>
      </c>
      <c r="AS17" s="21"/>
      <c r="AT17" s="20">
        <v>1.9208379200000001</v>
      </c>
      <c r="AU17" s="20"/>
      <c r="AV17" s="11">
        <f t="shared" si="14"/>
        <v>-18.085537509999998</v>
      </c>
      <c r="AW17" s="12">
        <f t="shared" si="15"/>
        <v>-0.90398870966303768</v>
      </c>
      <c r="AX17" s="20">
        <f t="shared" si="16"/>
        <v>0</v>
      </c>
      <c r="AY17" s="21"/>
      <c r="AZ17" s="20">
        <v>21.127199999999998</v>
      </c>
      <c r="BA17" s="20"/>
      <c r="BB17" s="11">
        <f t="shared" si="17"/>
        <v>19.206362079999998</v>
      </c>
      <c r="BC17" s="12">
        <f t="shared" si="18"/>
        <v>9.9989498749587344</v>
      </c>
      <c r="BD17" s="20">
        <f t="shared" si="19"/>
        <v>0</v>
      </c>
      <c r="BE17" s="21"/>
      <c r="BF17" s="20">
        <v>15.813800000000001</v>
      </c>
      <c r="BG17" s="20">
        <v>0</v>
      </c>
      <c r="BH17" s="11">
        <f t="shared" si="20"/>
        <v>-5.3133999999999979</v>
      </c>
      <c r="BI17" s="12">
        <f t="shared" si="21"/>
        <v>-0.25149570222272705</v>
      </c>
      <c r="BJ17" s="20">
        <f t="shared" si="22"/>
        <v>0</v>
      </c>
      <c r="BK17" s="21"/>
      <c r="BL17" s="20">
        <v>2.5510999999999999</v>
      </c>
      <c r="BM17" s="20"/>
      <c r="BN17" s="11">
        <f t="shared" si="23"/>
        <v>-13.262700000000001</v>
      </c>
      <c r="BO17" s="12">
        <f t="shared" si="24"/>
        <v>-0.83867887541261432</v>
      </c>
      <c r="BP17" s="20"/>
      <c r="BQ17" s="21"/>
      <c r="BR17" s="64">
        <v>2.5510999999999999</v>
      </c>
      <c r="BS17" s="64"/>
      <c r="BT17" s="20">
        <v>18.918099999999999</v>
      </c>
      <c r="BU17" s="20"/>
      <c r="BV17" s="11">
        <f t="shared" si="25"/>
        <v>16.366999999999997</v>
      </c>
      <c r="BW17" s="12">
        <f t="shared" si="26"/>
        <v>6.4156638312884633</v>
      </c>
      <c r="BX17" s="20"/>
      <c r="BY17" s="21"/>
    </row>
    <row r="18" spans="1:78" s="13" customFormat="1" ht="25.5" x14ac:dyDescent="0.25">
      <c r="A18" s="5" t="s">
        <v>24</v>
      </c>
      <c r="B18" s="15">
        <v>26.582000000000001</v>
      </c>
      <c r="C18" s="16"/>
      <c r="D18" s="17">
        <v>12.334</v>
      </c>
      <c r="E18" s="17"/>
      <c r="F18" s="16">
        <v>-14.247999999999999</v>
      </c>
      <c r="G18" s="18">
        <v>-0.53600000000000003</v>
      </c>
      <c r="H18" s="19"/>
      <c r="I18" s="19"/>
      <c r="J18" s="20">
        <v>19.099</v>
      </c>
      <c r="K18" s="20"/>
      <c r="L18" s="20">
        <f t="shared" si="0"/>
        <v>6.7650000000000006</v>
      </c>
      <c r="M18" s="21">
        <f t="shared" si="1"/>
        <v>0.54848386573698726</v>
      </c>
      <c r="N18" s="20"/>
      <c r="O18" s="21"/>
      <c r="P18" s="20">
        <v>21.905000000000001</v>
      </c>
      <c r="Q18" s="20"/>
      <c r="R18" s="20">
        <f t="shared" si="2"/>
        <v>2.8060000000000009</v>
      </c>
      <c r="S18" s="21">
        <f t="shared" si="3"/>
        <v>0.1469186868422431</v>
      </c>
      <c r="T18" s="20"/>
      <c r="U18" s="21"/>
      <c r="V18" s="20">
        <v>12.064</v>
      </c>
      <c r="W18" s="20"/>
      <c r="X18" s="20">
        <f t="shared" si="4"/>
        <v>-9.8410000000000011</v>
      </c>
      <c r="Y18" s="21">
        <f t="shared" si="5"/>
        <v>-0.44925816023738874</v>
      </c>
      <c r="Z18" s="20"/>
      <c r="AA18" s="21"/>
      <c r="AB18" s="20">
        <v>25.512865250000001</v>
      </c>
      <c r="AC18" s="20"/>
      <c r="AD18" s="20">
        <f t="shared" si="6"/>
        <v>13.448865250000001</v>
      </c>
      <c r="AE18" s="21">
        <f t="shared" si="7"/>
        <v>1.1147932070623343</v>
      </c>
      <c r="AF18" s="20"/>
      <c r="AG18" s="21"/>
      <c r="AH18" s="20">
        <v>21.7638</v>
      </c>
      <c r="AI18" s="20"/>
      <c r="AJ18" s="20">
        <f t="shared" si="8"/>
        <v>-3.749065250000001</v>
      </c>
      <c r="AK18" s="21">
        <f t="shared" ref="AK18:AK26" si="27">AJ18/AB18</f>
        <v>-0.14694802850495206</v>
      </c>
      <c r="AL18" s="20">
        <f t="shared" si="10"/>
        <v>0</v>
      </c>
      <c r="AM18" s="21"/>
      <c r="AN18" s="20">
        <v>17.645057179999998</v>
      </c>
      <c r="AO18" s="20"/>
      <c r="AP18" s="20">
        <f t="shared" si="11"/>
        <v>-4.1187428200000014</v>
      </c>
      <c r="AQ18" s="21">
        <f t="shared" ref="AQ18:AQ51" si="28">AP18/AH18</f>
        <v>-0.18924741175713805</v>
      </c>
      <c r="AR18" s="20">
        <f t="shared" si="13"/>
        <v>0</v>
      </c>
      <c r="AS18" s="21"/>
      <c r="AT18" s="20">
        <v>11.541437159999999</v>
      </c>
      <c r="AU18" s="20"/>
      <c r="AV18" s="11">
        <f t="shared" si="14"/>
        <v>-6.1036200199999993</v>
      </c>
      <c r="AW18" s="12">
        <f t="shared" si="15"/>
        <v>-0.34591103659999584</v>
      </c>
      <c r="AX18" s="20">
        <f t="shared" si="16"/>
        <v>0</v>
      </c>
      <c r="AY18" s="21"/>
      <c r="AZ18" s="20">
        <v>23.8325</v>
      </c>
      <c r="BA18" s="20"/>
      <c r="BB18" s="11">
        <f t="shared" si="17"/>
        <v>12.29106284</v>
      </c>
      <c r="BC18" s="12">
        <f t="shared" si="18"/>
        <v>1.0649508089510753</v>
      </c>
      <c r="BD18" s="20">
        <f t="shared" si="19"/>
        <v>0</v>
      </c>
      <c r="BE18" s="21"/>
      <c r="BF18" s="20">
        <f>0.0189721*1000</f>
        <v>18.972099999999998</v>
      </c>
      <c r="BG18" s="20">
        <v>0</v>
      </c>
      <c r="BH18" s="11">
        <f t="shared" si="20"/>
        <v>-4.8604000000000021</v>
      </c>
      <c r="BI18" s="12">
        <f t="shared" si="21"/>
        <v>-0.20393999790202463</v>
      </c>
      <c r="BJ18" s="20">
        <f t="shared" si="22"/>
        <v>0</v>
      </c>
      <c r="BK18" s="21"/>
      <c r="BL18" s="20">
        <v>10.6396</v>
      </c>
      <c r="BM18" s="20"/>
      <c r="BN18" s="11">
        <f t="shared" si="23"/>
        <v>-8.3324999999999978</v>
      </c>
      <c r="BO18" s="12">
        <f t="shared" si="24"/>
        <v>-0.43919755852014269</v>
      </c>
      <c r="BP18" s="20"/>
      <c r="BQ18" s="21"/>
      <c r="BR18" s="64">
        <v>10.6396</v>
      </c>
      <c r="BS18" s="64"/>
      <c r="BT18" s="20">
        <v>11.063499999999999</v>
      </c>
      <c r="BU18" s="20"/>
      <c r="BV18" s="11">
        <f t="shared" si="25"/>
        <v>0.42389999999999972</v>
      </c>
      <c r="BW18" s="12">
        <f t="shared" si="26"/>
        <v>3.9841723373059114E-2</v>
      </c>
      <c r="BX18" s="20"/>
      <c r="BY18" s="21"/>
    </row>
    <row r="19" spans="1:78" s="13" customFormat="1" ht="25.5" x14ac:dyDescent="0.25">
      <c r="A19" s="5" t="s">
        <v>25</v>
      </c>
      <c r="B19" s="15">
        <v>92.599000000000004</v>
      </c>
      <c r="C19" s="16"/>
      <c r="D19" s="17">
        <v>65.805000000000007</v>
      </c>
      <c r="E19" s="17"/>
      <c r="F19" s="16">
        <v>-26.794</v>
      </c>
      <c r="G19" s="18">
        <v>-0.28939999999999999</v>
      </c>
      <c r="H19" s="19"/>
      <c r="I19" s="19"/>
      <c r="J19" s="20">
        <v>65.597999999999999</v>
      </c>
      <c r="K19" s="20"/>
      <c r="L19" s="20">
        <f t="shared" si="0"/>
        <v>-0.20700000000000784</v>
      </c>
      <c r="M19" s="21">
        <f t="shared" si="1"/>
        <v>-3.1456576248006661E-3</v>
      </c>
      <c r="N19" s="20"/>
      <c r="O19" s="21"/>
      <c r="P19" s="20">
        <v>116.46</v>
      </c>
      <c r="Q19" s="20"/>
      <c r="R19" s="20">
        <f t="shared" si="2"/>
        <v>50.861999999999995</v>
      </c>
      <c r="S19" s="21">
        <f t="shared" si="3"/>
        <v>0.7753590048477087</v>
      </c>
      <c r="T19" s="20"/>
      <c r="U19" s="21"/>
      <c r="V19" s="20">
        <v>122.759</v>
      </c>
      <c r="W19" s="20"/>
      <c r="X19" s="20">
        <f t="shared" si="4"/>
        <v>6.2990000000000066</v>
      </c>
      <c r="Y19" s="21">
        <f t="shared" si="5"/>
        <v>5.408724025416458E-2</v>
      </c>
      <c r="Z19" s="20"/>
      <c r="AA19" s="21"/>
      <c r="AB19" s="20">
        <v>57.200616879999998</v>
      </c>
      <c r="AC19" s="20"/>
      <c r="AD19" s="20">
        <f t="shared" si="6"/>
        <v>-65.558383120000002</v>
      </c>
      <c r="AE19" s="21">
        <f t="shared" si="7"/>
        <v>-0.53404135843400491</v>
      </c>
      <c r="AF19" s="20"/>
      <c r="AG19" s="21"/>
      <c r="AH19" s="20">
        <v>98.0732</v>
      </c>
      <c r="AI19" s="20">
        <v>14.237399999999999</v>
      </c>
      <c r="AJ19" s="20">
        <f t="shared" si="8"/>
        <v>40.872583120000002</v>
      </c>
      <c r="AK19" s="21">
        <f t="shared" si="27"/>
        <v>0.71454794282631173</v>
      </c>
      <c r="AL19" s="20">
        <f t="shared" si="10"/>
        <v>14.237399999999999</v>
      </c>
      <c r="AM19" s="21"/>
      <c r="AN19" s="20">
        <v>114.95214786</v>
      </c>
      <c r="AO19" s="20">
        <v>45.465354920000003</v>
      </c>
      <c r="AP19" s="20">
        <f t="shared" si="11"/>
        <v>16.878947859999997</v>
      </c>
      <c r="AQ19" s="21">
        <f t="shared" si="28"/>
        <v>0.1721056094835286</v>
      </c>
      <c r="AR19" s="20">
        <f t="shared" si="13"/>
        <v>31.227954920000002</v>
      </c>
      <c r="AS19" s="21">
        <f>AR19/AI19</f>
        <v>2.1933748381024629</v>
      </c>
      <c r="AT19" s="20">
        <v>62.410411629999999</v>
      </c>
      <c r="AU19" s="20"/>
      <c r="AV19" s="11">
        <f t="shared" si="14"/>
        <v>-52.541736229999998</v>
      </c>
      <c r="AW19" s="12">
        <f t="shared" si="15"/>
        <v>-0.45707485426014377</v>
      </c>
      <c r="AX19" s="20">
        <f t="shared" si="16"/>
        <v>-45.465354920000003</v>
      </c>
      <c r="AY19" s="21">
        <f>AX19/AO19</f>
        <v>-1</v>
      </c>
      <c r="AZ19" s="20">
        <v>74.014099999999999</v>
      </c>
      <c r="BA19" s="20"/>
      <c r="BB19" s="11">
        <f t="shared" si="17"/>
        <v>11.60368837</v>
      </c>
      <c r="BC19" s="12">
        <f t="shared" si="18"/>
        <v>0.18592552215153529</v>
      </c>
      <c r="BD19" s="20">
        <f t="shared" si="19"/>
        <v>0</v>
      </c>
      <c r="BE19" s="21"/>
      <c r="BF19" s="20">
        <f>0.0641256*1000</f>
        <v>64.125600000000006</v>
      </c>
      <c r="BG19" s="20">
        <v>0</v>
      </c>
      <c r="BH19" s="11">
        <f t="shared" si="20"/>
        <v>-9.8884999999999934</v>
      </c>
      <c r="BI19" s="12">
        <f t="shared" si="21"/>
        <v>-0.13360292160547779</v>
      </c>
      <c r="BJ19" s="20">
        <f t="shared" si="22"/>
        <v>0</v>
      </c>
      <c r="BK19" s="21"/>
      <c r="BL19" s="20">
        <v>52.068100000000001</v>
      </c>
      <c r="BM19" s="20"/>
      <c r="BN19" s="11">
        <f t="shared" si="23"/>
        <v>-12.057500000000005</v>
      </c>
      <c r="BO19" s="12">
        <f t="shared" si="24"/>
        <v>-0.1880294297441272</v>
      </c>
      <c r="BP19" s="20"/>
      <c r="BQ19" s="21"/>
      <c r="BR19" s="64">
        <v>52.068100000000001</v>
      </c>
      <c r="BS19" s="64"/>
      <c r="BT19" s="20">
        <v>69.550700000000006</v>
      </c>
      <c r="BU19" s="20"/>
      <c r="BV19" s="11">
        <f t="shared" si="25"/>
        <v>17.482600000000005</v>
      </c>
      <c r="BW19" s="12">
        <f t="shared" si="26"/>
        <v>0.33576412429107272</v>
      </c>
      <c r="BX19" s="20"/>
      <c r="BY19" s="21"/>
    </row>
    <row r="20" spans="1:78" s="13" customFormat="1" ht="25.5" x14ac:dyDescent="0.25">
      <c r="A20" s="5" t="s">
        <v>26</v>
      </c>
      <c r="B20" s="15">
        <v>70.733000000000004</v>
      </c>
      <c r="C20" s="16">
        <v>11.484999999999999</v>
      </c>
      <c r="D20" s="17">
        <v>59.706000000000003</v>
      </c>
      <c r="E20" s="17">
        <v>10.412000000000001</v>
      </c>
      <c r="F20" s="16">
        <v>-11.026999999999999</v>
      </c>
      <c r="G20" s="18">
        <v>-0.15590000000000001</v>
      </c>
      <c r="H20" s="19">
        <v>-1.073</v>
      </c>
      <c r="I20" s="18">
        <v>-1.7999999999999999E-2</v>
      </c>
      <c r="J20" s="20">
        <v>105.90900000000001</v>
      </c>
      <c r="K20" s="20">
        <v>7.8689999999999998</v>
      </c>
      <c r="L20" s="20">
        <f t="shared" si="0"/>
        <v>46.203000000000003</v>
      </c>
      <c r="M20" s="21">
        <f t="shared" si="1"/>
        <v>0.77384182494221687</v>
      </c>
      <c r="N20" s="20">
        <f>K20-E20</f>
        <v>-2.543000000000001</v>
      </c>
      <c r="O20" s="21">
        <f>N20/E20</f>
        <v>-0.24423741836342688</v>
      </c>
      <c r="P20" s="20">
        <v>89.040999999999997</v>
      </c>
      <c r="Q20" s="20">
        <v>12.81</v>
      </c>
      <c r="R20" s="20">
        <f t="shared" si="2"/>
        <v>-16.868000000000009</v>
      </c>
      <c r="S20" s="21">
        <f t="shared" si="3"/>
        <v>-0.15926880623931874</v>
      </c>
      <c r="T20" s="20">
        <f>Q20-K20</f>
        <v>4.9410000000000007</v>
      </c>
      <c r="U20" s="21">
        <f>T20/K20</f>
        <v>0.62790697674418616</v>
      </c>
      <c r="V20" s="20">
        <v>27.68</v>
      </c>
      <c r="W20" s="20"/>
      <c r="X20" s="20">
        <f t="shared" si="4"/>
        <v>-61.360999999999997</v>
      </c>
      <c r="Y20" s="21">
        <f t="shared" si="5"/>
        <v>-0.68913197291135542</v>
      </c>
      <c r="Z20" s="20">
        <f>W20-Q20</f>
        <v>-12.81</v>
      </c>
      <c r="AA20" s="21">
        <f>Z20/Q20</f>
        <v>-1</v>
      </c>
      <c r="AB20" s="20">
        <v>28.427162849999998</v>
      </c>
      <c r="AC20" s="20"/>
      <c r="AD20" s="20">
        <f t="shared" si="6"/>
        <v>0.74716284999999871</v>
      </c>
      <c r="AE20" s="21">
        <f t="shared" si="7"/>
        <v>2.6992877528901688E-2</v>
      </c>
      <c r="AF20" s="20"/>
      <c r="AG20" s="21"/>
      <c r="AH20" s="20">
        <v>55.4617</v>
      </c>
      <c r="AI20" s="20">
        <v>17.578499999999998</v>
      </c>
      <c r="AJ20" s="20">
        <f t="shared" si="8"/>
        <v>27.034537150000002</v>
      </c>
      <c r="AK20" s="21">
        <f t="shared" si="27"/>
        <v>0.95101073901224731</v>
      </c>
      <c r="AL20" s="20">
        <f t="shared" si="10"/>
        <v>17.578499999999998</v>
      </c>
      <c r="AM20" s="21"/>
      <c r="AN20" s="20">
        <v>78.315236920000004</v>
      </c>
      <c r="AO20" s="20">
        <v>25.475817280000001</v>
      </c>
      <c r="AP20" s="20">
        <f t="shared" si="11"/>
        <v>22.853536920000003</v>
      </c>
      <c r="AQ20" s="21">
        <f t="shared" si="28"/>
        <v>0.41205979838338896</v>
      </c>
      <c r="AR20" s="20">
        <f t="shared" si="13"/>
        <v>7.8973172800000029</v>
      </c>
      <c r="AS20" s="21">
        <f>AR20/AI20</f>
        <v>0.44926002104844004</v>
      </c>
      <c r="AT20" s="20">
        <v>54.434972969999997</v>
      </c>
      <c r="AU20" s="20"/>
      <c r="AV20" s="11">
        <f t="shared" si="14"/>
        <v>-23.880263950000007</v>
      </c>
      <c r="AW20" s="12">
        <f t="shared" si="15"/>
        <v>-0.30492487655236228</v>
      </c>
      <c r="AX20" s="20">
        <f t="shared" si="16"/>
        <v>-25.475817280000001</v>
      </c>
      <c r="AY20" s="21">
        <f>AX20/AO20</f>
        <v>-1</v>
      </c>
      <c r="AZ20" s="20">
        <v>39.773200000000003</v>
      </c>
      <c r="BA20" s="20"/>
      <c r="BB20" s="11">
        <f t="shared" si="17"/>
        <v>-14.661772969999994</v>
      </c>
      <c r="BC20" s="12">
        <f t="shared" si="18"/>
        <v>-0.26934472766396589</v>
      </c>
      <c r="BD20" s="20">
        <f t="shared" si="19"/>
        <v>0</v>
      </c>
      <c r="BE20" s="21"/>
      <c r="BF20" s="20">
        <v>34.945900000000002</v>
      </c>
      <c r="BG20" s="20">
        <v>0</v>
      </c>
      <c r="BH20" s="11">
        <f t="shared" si="20"/>
        <v>-4.827300000000001</v>
      </c>
      <c r="BI20" s="12">
        <f t="shared" si="21"/>
        <v>-0.12137067170858772</v>
      </c>
      <c r="BJ20" s="20">
        <f t="shared" si="22"/>
        <v>0</v>
      </c>
      <c r="BK20" s="21"/>
      <c r="BL20" s="20">
        <v>30.489100000000001</v>
      </c>
      <c r="BM20" s="20"/>
      <c r="BN20" s="11">
        <f t="shared" si="23"/>
        <v>-4.4568000000000012</v>
      </c>
      <c r="BO20" s="12">
        <f t="shared" si="24"/>
        <v>-0.12753427440701201</v>
      </c>
      <c r="BP20" s="20"/>
      <c r="BQ20" s="21"/>
      <c r="BR20" s="64">
        <v>30.7346</v>
      </c>
      <c r="BS20" s="64"/>
      <c r="BT20" s="20">
        <v>61.390999999999998</v>
      </c>
      <c r="BU20" s="20"/>
      <c r="BV20" s="11">
        <f t="shared" si="25"/>
        <v>30.656399999999998</v>
      </c>
      <c r="BW20" s="12">
        <f t="shared" si="26"/>
        <v>0.99745563631867662</v>
      </c>
      <c r="BX20" s="20"/>
      <c r="BY20" s="21"/>
    </row>
    <row r="21" spans="1:78" s="13" customFormat="1" ht="25.5" x14ac:dyDescent="0.25">
      <c r="A21" s="5" t="s">
        <v>27</v>
      </c>
      <c r="B21" s="15">
        <v>138.13300000000001</v>
      </c>
      <c r="C21" s="16">
        <v>44.247</v>
      </c>
      <c r="D21" s="17">
        <v>106.447</v>
      </c>
      <c r="E21" s="17">
        <v>5.7770000000000001</v>
      </c>
      <c r="F21" s="16">
        <v>-31.686</v>
      </c>
      <c r="G21" s="18">
        <v>-0.22939999999999999</v>
      </c>
      <c r="H21" s="19">
        <v>-38.47</v>
      </c>
      <c r="I21" s="18">
        <v>-0.3614</v>
      </c>
      <c r="J21" s="20">
        <v>124.84399999999999</v>
      </c>
      <c r="K21" s="20"/>
      <c r="L21" s="20">
        <f t="shared" si="0"/>
        <v>18.396999999999991</v>
      </c>
      <c r="M21" s="21">
        <f t="shared" si="1"/>
        <v>0.1728277922346331</v>
      </c>
      <c r="N21" s="20">
        <f>K21-E21</f>
        <v>-5.7770000000000001</v>
      </c>
      <c r="O21" s="21">
        <f>N21/E21</f>
        <v>-1</v>
      </c>
      <c r="P21" s="20">
        <v>110.87</v>
      </c>
      <c r="Q21" s="20">
        <v>20.123999999999999</v>
      </c>
      <c r="R21" s="20">
        <f t="shared" si="2"/>
        <v>-13.97399999999999</v>
      </c>
      <c r="S21" s="21">
        <f t="shared" si="3"/>
        <v>-0.11193169075005599</v>
      </c>
      <c r="T21" s="20">
        <f>Q21-K21</f>
        <v>20.123999999999999</v>
      </c>
      <c r="U21" s="21"/>
      <c r="V21" s="20">
        <v>149.74100000000001</v>
      </c>
      <c r="W21" s="20">
        <v>13.773999999999999</v>
      </c>
      <c r="X21" s="20">
        <f t="shared" si="4"/>
        <v>38.871000000000009</v>
      </c>
      <c r="Y21" s="21">
        <f t="shared" si="5"/>
        <v>0.35059980156940568</v>
      </c>
      <c r="Z21" s="20">
        <f>W21-Q21</f>
        <v>-6.35</v>
      </c>
      <c r="AA21" s="21">
        <f>Z21/Q21</f>
        <v>-0.31554362949711789</v>
      </c>
      <c r="AB21" s="20">
        <v>186.87605592</v>
      </c>
      <c r="AC21" s="20"/>
      <c r="AD21" s="20">
        <f t="shared" si="6"/>
        <v>37.135055919999985</v>
      </c>
      <c r="AE21" s="21">
        <f t="shared" si="7"/>
        <v>0.24799524458899019</v>
      </c>
      <c r="AF21" s="20">
        <f>AC21-W21</f>
        <v>-13.773999999999999</v>
      </c>
      <c r="AG21" s="21">
        <f>AF21/W21</f>
        <v>-1</v>
      </c>
      <c r="AH21" s="20">
        <v>179.71469999999999</v>
      </c>
      <c r="AI21" s="20">
        <v>23.128599999999999</v>
      </c>
      <c r="AJ21" s="20">
        <f t="shared" si="8"/>
        <v>-7.1613559200000054</v>
      </c>
      <c r="AK21" s="21">
        <f t="shared" si="27"/>
        <v>-3.8321420498438383E-2</v>
      </c>
      <c r="AL21" s="20">
        <f t="shared" si="10"/>
        <v>23.128599999999999</v>
      </c>
      <c r="AM21" s="21"/>
      <c r="AN21" s="20">
        <v>172.01333600000001</v>
      </c>
      <c r="AO21" s="20"/>
      <c r="AP21" s="20">
        <f t="shared" si="11"/>
        <v>-7.7013639999999839</v>
      </c>
      <c r="AQ21" s="21">
        <f t="shared" si="28"/>
        <v>-4.285327800118735E-2</v>
      </c>
      <c r="AR21" s="20">
        <f t="shared" si="13"/>
        <v>-23.128599999999999</v>
      </c>
      <c r="AS21" s="21">
        <f>AR21/AI21</f>
        <v>-1</v>
      </c>
      <c r="AT21" s="20">
        <v>189.62655246</v>
      </c>
      <c r="AU21" s="20"/>
      <c r="AV21" s="11">
        <f t="shared" si="14"/>
        <v>17.61321645999999</v>
      </c>
      <c r="AW21" s="12">
        <f t="shared" si="15"/>
        <v>0.10239448213480372</v>
      </c>
      <c r="AX21" s="20">
        <f t="shared" si="16"/>
        <v>0</v>
      </c>
      <c r="AY21" s="21"/>
      <c r="AZ21" s="20">
        <v>167.1771</v>
      </c>
      <c r="BA21" s="20"/>
      <c r="BB21" s="11">
        <f t="shared" si="17"/>
        <v>-22.449452460000003</v>
      </c>
      <c r="BC21" s="12">
        <f t="shared" si="18"/>
        <v>-0.11838770556531376</v>
      </c>
      <c r="BD21" s="20">
        <f t="shared" si="19"/>
        <v>0</v>
      </c>
      <c r="BE21" s="21"/>
      <c r="BF21" s="20">
        <f>0.2016034*1000</f>
        <v>201.60339999999999</v>
      </c>
      <c r="BG21" s="20">
        <v>0</v>
      </c>
      <c r="BH21" s="11">
        <f t="shared" si="20"/>
        <v>34.426299999999998</v>
      </c>
      <c r="BI21" s="12">
        <f t="shared" si="21"/>
        <v>0.2059271275790763</v>
      </c>
      <c r="BJ21" s="20">
        <f t="shared" si="22"/>
        <v>0</v>
      </c>
      <c r="BK21" s="21"/>
      <c r="BL21" s="20">
        <v>269.42219999999998</v>
      </c>
      <c r="BM21" s="20"/>
      <c r="BN21" s="11">
        <f t="shared" si="23"/>
        <v>67.818799999999982</v>
      </c>
      <c r="BO21" s="12">
        <f t="shared" si="24"/>
        <v>0.33639710441391357</v>
      </c>
      <c r="BP21" s="20"/>
      <c r="BQ21" s="21"/>
      <c r="BR21" s="64">
        <v>269.40910000000002</v>
      </c>
      <c r="BS21" s="64"/>
      <c r="BT21" s="20">
        <v>284.07560000000001</v>
      </c>
      <c r="BU21" s="20"/>
      <c r="BV21" s="11">
        <f t="shared" si="25"/>
        <v>14.666499999999985</v>
      </c>
      <c r="BW21" s="12">
        <f t="shared" si="26"/>
        <v>5.4439512251070896E-2</v>
      </c>
      <c r="BX21" s="20"/>
      <c r="BY21" s="21"/>
    </row>
    <row r="22" spans="1:78" s="13" customFormat="1" ht="25.5" x14ac:dyDescent="0.25">
      <c r="A22" s="5" t="s">
        <v>32</v>
      </c>
      <c r="B22" s="15"/>
      <c r="C22" s="16"/>
      <c r="D22" s="17"/>
      <c r="E22" s="17"/>
      <c r="F22" s="16"/>
      <c r="G22" s="18"/>
      <c r="H22" s="19"/>
      <c r="I22" s="19"/>
      <c r="J22" s="20"/>
      <c r="K22" s="20"/>
      <c r="L22" s="20">
        <f t="shared" si="0"/>
        <v>0</v>
      </c>
      <c r="M22" s="21"/>
      <c r="N22" s="20"/>
      <c r="O22" s="21"/>
      <c r="P22" s="20">
        <v>9.1839999999999993</v>
      </c>
      <c r="Q22" s="20"/>
      <c r="R22" s="20">
        <f t="shared" si="2"/>
        <v>9.1839999999999993</v>
      </c>
      <c r="S22" s="21"/>
      <c r="T22" s="20"/>
      <c r="U22" s="21"/>
      <c r="V22" s="20">
        <v>5.7240000000000002</v>
      </c>
      <c r="W22" s="20"/>
      <c r="X22" s="20">
        <f t="shared" si="4"/>
        <v>-3.4599999999999991</v>
      </c>
      <c r="Y22" s="21">
        <f t="shared" si="5"/>
        <v>-0.37674216027874557</v>
      </c>
      <c r="Z22" s="20"/>
      <c r="AA22" s="21"/>
      <c r="AB22" s="20">
        <v>5.4745980699999999</v>
      </c>
      <c r="AC22" s="20"/>
      <c r="AD22" s="20">
        <f t="shared" si="6"/>
        <v>-0.24940193000000033</v>
      </c>
      <c r="AE22" s="21">
        <f t="shared" si="7"/>
        <v>-4.3571266596785521E-2</v>
      </c>
      <c r="AF22" s="20"/>
      <c r="AG22" s="21"/>
      <c r="AH22" s="20">
        <v>4.8739999999999997</v>
      </c>
      <c r="AI22" s="20"/>
      <c r="AJ22" s="20">
        <f t="shared" si="8"/>
        <v>-0.60059807000000021</v>
      </c>
      <c r="AK22" s="21">
        <f t="shared" si="27"/>
        <v>-0.10970633137274317</v>
      </c>
      <c r="AL22" s="20">
        <f t="shared" si="10"/>
        <v>0</v>
      </c>
      <c r="AM22" s="21"/>
      <c r="AN22" s="20">
        <v>1.37075502</v>
      </c>
      <c r="AO22" s="20"/>
      <c r="AP22" s="20">
        <f t="shared" si="11"/>
        <v>-3.5032449799999998</v>
      </c>
      <c r="AQ22" s="21">
        <f t="shared" si="28"/>
        <v>-0.71876179318834632</v>
      </c>
      <c r="AR22" s="20">
        <f t="shared" si="13"/>
        <v>0</v>
      </c>
      <c r="AS22" s="21"/>
      <c r="AT22" s="20">
        <v>7.3919500000000004E-3</v>
      </c>
      <c r="AU22" s="20"/>
      <c r="AV22" s="11">
        <f t="shared" si="14"/>
        <v>-1.3633630700000001</v>
      </c>
      <c r="AW22" s="12">
        <f t="shared" si="15"/>
        <v>-0.99460738797805026</v>
      </c>
      <c r="AX22" s="20">
        <f t="shared" si="16"/>
        <v>0</v>
      </c>
      <c r="AY22" s="21"/>
      <c r="AZ22" s="20">
        <v>4.3335999999999997</v>
      </c>
      <c r="BA22" s="20"/>
      <c r="BB22" s="11">
        <f t="shared" si="17"/>
        <v>4.32620805</v>
      </c>
      <c r="BC22" s="12">
        <f t="shared" si="18"/>
        <v>585.25937675444231</v>
      </c>
      <c r="BD22" s="20">
        <f t="shared" si="19"/>
        <v>0</v>
      </c>
      <c r="BE22" s="21"/>
      <c r="BF22" s="20">
        <f>0.0041733*1000</f>
        <v>4.1732999999999993</v>
      </c>
      <c r="BG22" s="20">
        <v>0</v>
      </c>
      <c r="BH22" s="11">
        <f t="shared" si="20"/>
        <v>-0.16030000000000033</v>
      </c>
      <c r="BI22" s="12">
        <f t="shared" si="21"/>
        <v>-3.6990031382684224E-2</v>
      </c>
      <c r="BJ22" s="20">
        <f t="shared" si="22"/>
        <v>0</v>
      </c>
      <c r="BK22" s="21"/>
      <c r="BL22" s="20">
        <v>3.7100000000000001E-2</v>
      </c>
      <c r="BM22" s="20"/>
      <c r="BN22" s="11">
        <f t="shared" si="23"/>
        <v>-4.1361999999999997</v>
      </c>
      <c r="BO22" s="12">
        <f t="shared" si="24"/>
        <v>-0.99111015263700197</v>
      </c>
      <c r="BP22" s="20"/>
      <c r="BQ22" s="21"/>
      <c r="BR22" s="64">
        <v>0.65580000000000005</v>
      </c>
      <c r="BS22" s="64"/>
      <c r="BT22" s="20"/>
      <c r="BU22" s="20"/>
      <c r="BV22" s="11">
        <f t="shared" si="25"/>
        <v>-0.65580000000000005</v>
      </c>
      <c r="BW22" s="12">
        <f t="shared" si="26"/>
        <v>-1</v>
      </c>
      <c r="BX22" s="20"/>
      <c r="BY22" s="21"/>
    </row>
    <row r="23" spans="1:78" s="13" customFormat="1" ht="25.5" x14ac:dyDescent="0.25">
      <c r="A23" s="5" t="s">
        <v>28</v>
      </c>
      <c r="B23" s="15">
        <v>271.40300000000002</v>
      </c>
      <c r="C23" s="16"/>
      <c r="D23" s="17">
        <v>152.191</v>
      </c>
      <c r="E23" s="17"/>
      <c r="F23" s="16">
        <v>-119.212</v>
      </c>
      <c r="G23" s="18">
        <v>-0.43919999999999998</v>
      </c>
      <c r="H23" s="19"/>
      <c r="I23" s="19"/>
      <c r="J23" s="20">
        <v>315.899</v>
      </c>
      <c r="K23" s="20"/>
      <c r="L23" s="20">
        <f t="shared" si="0"/>
        <v>163.708</v>
      </c>
      <c r="M23" s="21">
        <f>L23/D23</f>
        <v>1.0756746456754998</v>
      </c>
      <c r="N23" s="20"/>
      <c r="O23" s="21"/>
      <c r="P23" s="20">
        <v>385.685</v>
      </c>
      <c r="Q23" s="20"/>
      <c r="R23" s="20">
        <f t="shared" si="2"/>
        <v>69.786000000000001</v>
      </c>
      <c r="S23" s="21">
        <f>R23/J23</f>
        <v>0.22091238022279272</v>
      </c>
      <c r="T23" s="20"/>
      <c r="U23" s="21"/>
      <c r="V23" s="20">
        <v>252.87799999999999</v>
      </c>
      <c r="W23" s="20"/>
      <c r="X23" s="20">
        <f t="shared" si="4"/>
        <v>-132.80700000000002</v>
      </c>
      <c r="Y23" s="21">
        <f t="shared" si="5"/>
        <v>-0.34434058882248469</v>
      </c>
      <c r="Z23" s="20"/>
      <c r="AA23" s="21"/>
      <c r="AB23" s="20">
        <v>254.44160056000001</v>
      </c>
      <c r="AC23" s="20"/>
      <c r="AD23" s="20">
        <f t="shared" si="6"/>
        <v>1.563600560000026</v>
      </c>
      <c r="AE23" s="21">
        <f t="shared" si="7"/>
        <v>6.1832209998498328E-3</v>
      </c>
      <c r="AF23" s="20"/>
      <c r="AG23" s="21"/>
      <c r="AH23" s="20">
        <v>486.16289999999998</v>
      </c>
      <c r="AI23" s="20">
        <v>137.5299</v>
      </c>
      <c r="AJ23" s="20">
        <f t="shared" si="8"/>
        <v>231.72129943999997</v>
      </c>
      <c r="AK23" s="21">
        <f t="shared" si="27"/>
        <v>0.91070524210665638</v>
      </c>
      <c r="AL23" s="20">
        <f t="shared" si="10"/>
        <v>137.5299</v>
      </c>
      <c r="AM23" s="21"/>
      <c r="AN23" s="20">
        <v>247.25590249000001</v>
      </c>
      <c r="AO23" s="20"/>
      <c r="AP23" s="20">
        <f t="shared" si="11"/>
        <v>-238.90699750999997</v>
      </c>
      <c r="AQ23" s="21">
        <f t="shared" si="28"/>
        <v>-0.49141346966212351</v>
      </c>
      <c r="AR23" s="20">
        <f t="shared" si="13"/>
        <v>-137.5299</v>
      </c>
      <c r="AS23" s="21">
        <f>AR23/AI23</f>
        <v>-1</v>
      </c>
      <c r="AT23" s="20">
        <v>414.40676651000001</v>
      </c>
      <c r="AU23" s="20"/>
      <c r="AV23" s="11">
        <f t="shared" si="14"/>
        <v>167.15086402</v>
      </c>
      <c r="AW23" s="12">
        <f t="shared" si="15"/>
        <v>0.67602375650773483</v>
      </c>
      <c r="AX23" s="20">
        <f t="shared" si="16"/>
        <v>0</v>
      </c>
      <c r="AY23" s="21"/>
      <c r="AZ23" s="20">
        <v>666.16740000000004</v>
      </c>
      <c r="BA23" s="20"/>
      <c r="BB23" s="11">
        <f t="shared" si="17"/>
        <v>251.76063349000003</v>
      </c>
      <c r="BC23" s="12">
        <f t="shared" si="18"/>
        <v>0.60752056635138174</v>
      </c>
      <c r="BD23" s="20">
        <f t="shared" si="19"/>
        <v>0</v>
      </c>
      <c r="BE23" s="21"/>
      <c r="BF23" s="20">
        <v>383.654</v>
      </c>
      <c r="BG23" s="20">
        <v>0</v>
      </c>
      <c r="BH23" s="11">
        <f t="shared" si="20"/>
        <v>-282.51340000000005</v>
      </c>
      <c r="BI23" s="12">
        <f t="shared" si="21"/>
        <v>-0.42408769927798934</v>
      </c>
      <c r="BJ23" s="20">
        <f t="shared" si="22"/>
        <v>0</v>
      </c>
      <c r="BK23" s="21"/>
      <c r="BL23" s="20">
        <v>480.95</v>
      </c>
      <c r="BM23" s="20"/>
      <c r="BN23" s="11">
        <f t="shared" si="23"/>
        <v>97.295999999999992</v>
      </c>
      <c r="BO23" s="12">
        <f t="shared" si="24"/>
        <v>0.25360350732691433</v>
      </c>
      <c r="BP23" s="20"/>
      <c r="BQ23" s="21"/>
      <c r="BR23" s="64">
        <v>483.8039</v>
      </c>
      <c r="BS23" s="64"/>
      <c r="BT23" s="20">
        <v>361.86500000000001</v>
      </c>
      <c r="BU23" s="20"/>
      <c r="BV23" s="11">
        <f t="shared" si="25"/>
        <v>-121.93889999999999</v>
      </c>
      <c r="BW23" s="12">
        <f t="shared" si="26"/>
        <v>-0.25204199470074545</v>
      </c>
      <c r="BX23" s="20"/>
      <c r="BY23" s="21"/>
    </row>
    <row r="24" spans="1:78" s="13" customFormat="1" ht="25.5" x14ac:dyDescent="0.25">
      <c r="A24" s="14" t="s">
        <v>33</v>
      </c>
      <c r="B24" s="15"/>
      <c r="C24" s="16"/>
      <c r="D24" s="17"/>
      <c r="E24" s="17"/>
      <c r="F24" s="16"/>
      <c r="G24" s="18"/>
      <c r="H24" s="19"/>
      <c r="I24" s="19"/>
      <c r="J24" s="20"/>
      <c r="K24" s="20"/>
      <c r="L24" s="20">
        <f t="shared" si="0"/>
        <v>0</v>
      </c>
      <c r="M24" s="21"/>
      <c r="N24" s="20"/>
      <c r="O24" s="21"/>
      <c r="P24" s="20">
        <v>1.026</v>
      </c>
      <c r="Q24" s="20"/>
      <c r="R24" s="20">
        <f t="shared" si="2"/>
        <v>1.026</v>
      </c>
      <c r="S24" s="21"/>
      <c r="T24" s="20"/>
      <c r="U24" s="21"/>
      <c r="V24" s="20">
        <v>0.308</v>
      </c>
      <c r="W24" s="20"/>
      <c r="X24" s="20">
        <f t="shared" si="4"/>
        <v>-0.71799999999999997</v>
      </c>
      <c r="Y24" s="21">
        <f t="shared" si="5"/>
        <v>-0.69980506822612076</v>
      </c>
      <c r="Z24" s="20"/>
      <c r="AA24" s="21"/>
      <c r="AB24" s="20">
        <v>0.47307046000000003</v>
      </c>
      <c r="AC24" s="20"/>
      <c r="AD24" s="20">
        <f t="shared" si="6"/>
        <v>0.16507046000000003</v>
      </c>
      <c r="AE24" s="21">
        <f t="shared" si="7"/>
        <v>0.53594305194805203</v>
      </c>
      <c r="AF24" s="20"/>
      <c r="AG24" s="21"/>
      <c r="AH24" s="20">
        <v>2.2237</v>
      </c>
      <c r="AI24" s="20"/>
      <c r="AJ24" s="20">
        <f t="shared" si="8"/>
        <v>1.75062954</v>
      </c>
      <c r="AK24" s="21">
        <f t="shared" si="27"/>
        <v>3.7005682832109192</v>
      </c>
      <c r="AL24" s="20">
        <f t="shared" si="10"/>
        <v>0</v>
      </c>
      <c r="AM24" s="21"/>
      <c r="AN24" s="20">
        <v>3.91032066</v>
      </c>
      <c r="AO24" s="20"/>
      <c r="AP24" s="20">
        <f t="shared" si="11"/>
        <v>1.68662066</v>
      </c>
      <c r="AQ24" s="21">
        <f t="shared" si="28"/>
        <v>0.75847491118406263</v>
      </c>
      <c r="AR24" s="20">
        <f t="shared" si="13"/>
        <v>0</v>
      </c>
      <c r="AS24" s="21"/>
      <c r="AT24" s="20">
        <v>1.65730545</v>
      </c>
      <c r="AU24" s="20"/>
      <c r="AV24" s="11">
        <f t="shared" si="14"/>
        <v>-2.25301521</v>
      </c>
      <c r="AW24" s="12">
        <f t="shared" si="15"/>
        <v>-0.57617147183013884</v>
      </c>
      <c r="AX24" s="20">
        <f t="shared" si="16"/>
        <v>0</v>
      </c>
      <c r="AY24" s="21"/>
      <c r="AZ24" s="20">
        <v>0.98899999999999999</v>
      </c>
      <c r="BA24" s="20"/>
      <c r="BB24" s="11">
        <f t="shared" si="17"/>
        <v>-0.66830544999999997</v>
      </c>
      <c r="BC24" s="12">
        <f t="shared" si="18"/>
        <v>-0.40324820629775882</v>
      </c>
      <c r="BD24" s="20">
        <f t="shared" si="19"/>
        <v>0</v>
      </c>
      <c r="BE24" s="21"/>
      <c r="BF24" s="20">
        <f>0.004704*1000</f>
        <v>4.7039999999999997</v>
      </c>
      <c r="BG24" s="20">
        <v>0</v>
      </c>
      <c r="BH24" s="11">
        <f t="shared" si="20"/>
        <v>3.7149999999999999</v>
      </c>
      <c r="BI24" s="12">
        <f t="shared" si="21"/>
        <v>3.756319514661274</v>
      </c>
      <c r="BJ24" s="20">
        <f t="shared" si="22"/>
        <v>0</v>
      </c>
      <c r="BK24" s="21"/>
      <c r="BL24" s="20">
        <v>1.51</v>
      </c>
      <c r="BM24" s="20"/>
      <c r="BN24" s="11">
        <f t="shared" si="23"/>
        <v>-3.194</v>
      </c>
      <c r="BO24" s="12">
        <f t="shared" si="24"/>
        <v>-0.67899659863945583</v>
      </c>
      <c r="BP24" s="20"/>
      <c r="BQ24" s="21"/>
      <c r="BR24" s="64">
        <v>1.51</v>
      </c>
      <c r="BS24" s="64"/>
      <c r="BT24" s="20"/>
      <c r="BU24" s="20"/>
      <c r="BV24" s="11">
        <f t="shared" si="25"/>
        <v>-1.51</v>
      </c>
      <c r="BW24" s="12">
        <f t="shared" si="26"/>
        <v>-1</v>
      </c>
      <c r="BX24" s="20"/>
      <c r="BY24" s="21"/>
    </row>
    <row r="25" spans="1:78" s="13" customFormat="1" ht="25.5" x14ac:dyDescent="0.25">
      <c r="A25" s="5" t="s">
        <v>29</v>
      </c>
      <c r="B25" s="15">
        <v>4.6859999999999999</v>
      </c>
      <c r="C25" s="16"/>
      <c r="D25" s="17">
        <v>2.621</v>
      </c>
      <c r="E25" s="17"/>
      <c r="F25" s="16">
        <v>-2.0649999999999999</v>
      </c>
      <c r="G25" s="18">
        <v>-0.44069999999999998</v>
      </c>
      <c r="H25" s="19"/>
      <c r="I25" s="19"/>
      <c r="J25" s="20">
        <v>3.6579999999999999</v>
      </c>
      <c r="K25" s="20"/>
      <c r="L25" s="20">
        <f t="shared" si="0"/>
        <v>1.0369999999999999</v>
      </c>
      <c r="M25" s="21">
        <f>L25/D25</f>
        <v>0.39565051507058374</v>
      </c>
      <c r="N25" s="20"/>
      <c r="O25" s="21"/>
      <c r="P25" s="20">
        <v>1.718</v>
      </c>
      <c r="Q25" s="20"/>
      <c r="R25" s="20">
        <f t="shared" si="2"/>
        <v>-1.94</v>
      </c>
      <c r="S25" s="21">
        <f>R25/J25</f>
        <v>-0.53034445051940948</v>
      </c>
      <c r="T25" s="20"/>
      <c r="U25" s="21"/>
      <c r="V25" s="20">
        <v>1.962</v>
      </c>
      <c r="W25" s="20"/>
      <c r="X25" s="20">
        <f t="shared" si="4"/>
        <v>0.24399999999999999</v>
      </c>
      <c r="Y25" s="21">
        <f t="shared" si="5"/>
        <v>0.1420256111757858</v>
      </c>
      <c r="Z25" s="20"/>
      <c r="AA25" s="21"/>
      <c r="AB25" s="20">
        <v>5.3247016599999997</v>
      </c>
      <c r="AC25" s="20"/>
      <c r="AD25" s="20">
        <f t="shared" si="6"/>
        <v>3.3627016599999999</v>
      </c>
      <c r="AE25" s="21">
        <f t="shared" si="7"/>
        <v>1.7139152191641183</v>
      </c>
      <c r="AF25" s="20"/>
      <c r="AG25" s="21"/>
      <c r="AH25" s="20">
        <v>6.6913999999999998</v>
      </c>
      <c r="AI25" s="20"/>
      <c r="AJ25" s="20">
        <f t="shared" si="8"/>
        <v>1.3666983400000001</v>
      </c>
      <c r="AK25" s="21">
        <f t="shared" si="27"/>
        <v>0.25667134560173654</v>
      </c>
      <c r="AL25" s="20">
        <f t="shared" si="10"/>
        <v>0</v>
      </c>
      <c r="AM25" s="21"/>
      <c r="AN25" s="20">
        <v>20.402687180000001</v>
      </c>
      <c r="AO25" s="20"/>
      <c r="AP25" s="20">
        <f t="shared" si="11"/>
        <v>13.711287180000001</v>
      </c>
      <c r="AQ25" s="21">
        <f t="shared" si="28"/>
        <v>2.0490909495770695</v>
      </c>
      <c r="AR25" s="20">
        <f t="shared" si="13"/>
        <v>0</v>
      </c>
      <c r="AS25" s="21"/>
      <c r="AT25" s="20">
        <v>8.2825574799999995</v>
      </c>
      <c r="AU25" s="20"/>
      <c r="AV25" s="11">
        <f t="shared" si="14"/>
        <v>-12.120129700000001</v>
      </c>
      <c r="AW25" s="12">
        <f t="shared" si="15"/>
        <v>-0.59404575451614605</v>
      </c>
      <c r="AX25" s="20">
        <f t="shared" si="16"/>
        <v>0</v>
      </c>
      <c r="AY25" s="21"/>
      <c r="AZ25" s="20">
        <v>3.1524000000000001</v>
      </c>
      <c r="BA25" s="20"/>
      <c r="BB25" s="11">
        <f t="shared" si="17"/>
        <v>-5.1301574799999994</v>
      </c>
      <c r="BC25" s="12">
        <f t="shared" si="18"/>
        <v>-0.6193929221001917</v>
      </c>
      <c r="BD25" s="20">
        <f t="shared" si="19"/>
        <v>0</v>
      </c>
      <c r="BE25" s="21"/>
      <c r="BF25" s="20">
        <v>3.7543000000000002</v>
      </c>
      <c r="BG25" s="20">
        <v>0</v>
      </c>
      <c r="BH25" s="11">
        <f t="shared" si="20"/>
        <v>0.6019000000000001</v>
      </c>
      <c r="BI25" s="12">
        <f t="shared" si="21"/>
        <v>0.19093389163811703</v>
      </c>
      <c r="BJ25" s="20">
        <f t="shared" si="22"/>
        <v>0</v>
      </c>
      <c r="BK25" s="21"/>
      <c r="BL25" s="20">
        <v>2.1076000000000001</v>
      </c>
      <c r="BM25" s="20"/>
      <c r="BN25" s="11">
        <f t="shared" si="23"/>
        <v>-1.6467000000000001</v>
      </c>
      <c r="BO25" s="12">
        <f t="shared" si="24"/>
        <v>-0.43861705244652799</v>
      </c>
      <c r="BP25" s="20"/>
      <c r="BQ25" s="21"/>
      <c r="BR25" s="64">
        <v>2.1135999999999999</v>
      </c>
      <c r="BS25" s="64"/>
      <c r="BT25" s="20">
        <v>3.4485000000000001</v>
      </c>
      <c r="BU25" s="20"/>
      <c r="BV25" s="11">
        <f t="shared" si="25"/>
        <v>1.3349000000000002</v>
      </c>
      <c r="BW25" s="12">
        <f t="shared" si="26"/>
        <v>0.63157645722937183</v>
      </c>
      <c r="BX25" s="20"/>
      <c r="BY25" s="21"/>
    </row>
    <row r="26" spans="1:78" s="13" customFormat="1" ht="25.5" x14ac:dyDescent="0.25">
      <c r="A26" s="5" t="s">
        <v>30</v>
      </c>
      <c r="B26" s="15">
        <v>31.89</v>
      </c>
      <c r="C26" s="16"/>
      <c r="D26" s="17">
        <v>41.094000000000001</v>
      </c>
      <c r="E26" s="17"/>
      <c r="F26" s="16">
        <v>9.2040000000000006</v>
      </c>
      <c r="G26" s="18">
        <v>0.28860000000000002</v>
      </c>
      <c r="H26" s="19"/>
      <c r="I26" s="19"/>
      <c r="J26" s="20">
        <v>28.821999999999999</v>
      </c>
      <c r="K26" s="20"/>
      <c r="L26" s="20">
        <f t="shared" si="0"/>
        <v>-12.272000000000002</v>
      </c>
      <c r="M26" s="21">
        <f>L26/D26</f>
        <v>-0.29863240375723954</v>
      </c>
      <c r="N26" s="20"/>
      <c r="O26" s="21"/>
      <c r="P26" s="20">
        <v>58.338999999999999</v>
      </c>
      <c r="Q26" s="20"/>
      <c r="R26" s="20">
        <f t="shared" si="2"/>
        <v>29.516999999999999</v>
      </c>
      <c r="S26" s="21">
        <f>R26/J26</f>
        <v>1.0241135243910902</v>
      </c>
      <c r="T26" s="20"/>
      <c r="U26" s="21"/>
      <c r="V26" s="20">
        <v>150.58099999999999</v>
      </c>
      <c r="W26" s="20"/>
      <c r="X26" s="20">
        <f t="shared" si="4"/>
        <v>92.24199999999999</v>
      </c>
      <c r="Y26" s="21">
        <f t="shared" si="5"/>
        <v>1.5811378323248597</v>
      </c>
      <c r="Z26" s="20"/>
      <c r="AA26" s="21"/>
      <c r="AB26" s="20">
        <v>2.8545920300000001</v>
      </c>
      <c r="AC26" s="20"/>
      <c r="AD26" s="20">
        <f t="shared" si="6"/>
        <v>-147.72640797</v>
      </c>
      <c r="AE26" s="21">
        <f t="shared" si="7"/>
        <v>-0.98104281396723358</v>
      </c>
      <c r="AF26" s="20"/>
      <c r="AG26" s="21"/>
      <c r="AH26" s="20">
        <v>50.003700000000002</v>
      </c>
      <c r="AI26" s="20"/>
      <c r="AJ26" s="20">
        <f t="shared" si="8"/>
        <v>47.149107970000003</v>
      </c>
      <c r="AK26" s="21">
        <f t="shared" si="27"/>
        <v>16.516933934689085</v>
      </c>
      <c r="AL26" s="20">
        <f t="shared" si="10"/>
        <v>0</v>
      </c>
      <c r="AM26" s="21"/>
      <c r="AN26" s="20">
        <v>101.84855174</v>
      </c>
      <c r="AO26" s="20"/>
      <c r="AP26" s="20">
        <f t="shared" si="11"/>
        <v>51.844851740000003</v>
      </c>
      <c r="AQ26" s="21">
        <f t="shared" si="28"/>
        <v>1.0368203100970528</v>
      </c>
      <c r="AR26" s="20">
        <f t="shared" si="13"/>
        <v>0</v>
      </c>
      <c r="AS26" s="21"/>
      <c r="AT26" s="20">
        <v>1.391714E-2</v>
      </c>
      <c r="AU26" s="20"/>
      <c r="AV26" s="11">
        <f t="shared" si="14"/>
        <v>-101.8346346</v>
      </c>
      <c r="AW26" s="12">
        <f t="shared" si="15"/>
        <v>-0.99986335456162856</v>
      </c>
      <c r="AX26" s="20">
        <f t="shared" si="16"/>
        <v>0</v>
      </c>
      <c r="AY26" s="21"/>
      <c r="AZ26" s="20">
        <v>115.2985</v>
      </c>
      <c r="BA26" s="20"/>
      <c r="BB26" s="11">
        <f t="shared" si="17"/>
        <v>115.28458286</v>
      </c>
      <c r="BC26" s="12">
        <f t="shared" si="18"/>
        <v>8283.6403786984974</v>
      </c>
      <c r="BD26" s="20">
        <f t="shared" si="19"/>
        <v>0</v>
      </c>
      <c r="BE26" s="21"/>
      <c r="BF26" s="20">
        <f>0.1671355*1000</f>
        <v>167.13549999999998</v>
      </c>
      <c r="BG26" s="20">
        <v>0</v>
      </c>
      <c r="BH26" s="11">
        <f t="shared" si="20"/>
        <v>51.836999999999975</v>
      </c>
      <c r="BI26" s="12">
        <f t="shared" si="21"/>
        <v>0.44958954366275339</v>
      </c>
      <c r="BJ26" s="20">
        <f t="shared" si="22"/>
        <v>0</v>
      </c>
      <c r="BK26" s="21"/>
      <c r="BL26" s="20">
        <v>14.4924</v>
      </c>
      <c r="BM26" s="20"/>
      <c r="BN26" s="11">
        <f t="shared" si="23"/>
        <v>-152.64309999999998</v>
      </c>
      <c r="BO26" s="12">
        <f t="shared" si="24"/>
        <v>-0.91328951658983282</v>
      </c>
      <c r="BP26" s="20"/>
      <c r="BQ26" s="21"/>
      <c r="BR26" s="64">
        <v>14.4924</v>
      </c>
      <c r="BS26" s="64"/>
      <c r="BT26" s="20">
        <v>78.617099999999994</v>
      </c>
      <c r="BU26" s="20"/>
      <c r="BV26" s="11">
        <f t="shared" si="25"/>
        <v>64.12469999999999</v>
      </c>
      <c r="BW26" s="12">
        <f t="shared" si="26"/>
        <v>4.4247122629792157</v>
      </c>
      <c r="BX26" s="20"/>
      <c r="BY26" s="21"/>
    </row>
    <row r="27" spans="1:78" s="13" customFormat="1" ht="25.5" x14ac:dyDescent="0.25">
      <c r="A27" s="5" t="s">
        <v>70</v>
      </c>
      <c r="B27" s="15"/>
      <c r="C27" s="16"/>
      <c r="D27" s="17"/>
      <c r="E27" s="17"/>
      <c r="F27" s="16"/>
      <c r="G27" s="18"/>
      <c r="H27" s="19"/>
      <c r="I27" s="18"/>
      <c r="J27" s="20"/>
      <c r="K27" s="20"/>
      <c r="L27" s="20"/>
      <c r="M27" s="21"/>
      <c r="N27" s="20"/>
      <c r="O27" s="21"/>
      <c r="P27" s="20"/>
      <c r="Q27" s="20"/>
      <c r="R27" s="20"/>
      <c r="S27" s="21"/>
      <c r="T27" s="20"/>
      <c r="U27" s="21"/>
      <c r="V27" s="20"/>
      <c r="W27" s="20"/>
      <c r="X27" s="20"/>
      <c r="Y27" s="21"/>
      <c r="Z27" s="20"/>
      <c r="AA27" s="21"/>
      <c r="AB27" s="20"/>
      <c r="AC27" s="20"/>
      <c r="AD27" s="20"/>
      <c r="AE27" s="21"/>
      <c r="AF27" s="20"/>
      <c r="AG27" s="21"/>
      <c r="AH27" s="20">
        <v>4.4499999999999998E-2</v>
      </c>
      <c r="AI27" s="20"/>
      <c r="AJ27" s="20"/>
      <c r="AK27" s="21"/>
      <c r="AL27" s="20"/>
      <c r="AM27" s="21"/>
      <c r="AN27" s="20">
        <v>2.072616E-2</v>
      </c>
      <c r="AO27" s="20"/>
      <c r="AP27" s="20">
        <f t="shared" si="11"/>
        <v>-2.3773839999999997E-2</v>
      </c>
      <c r="AQ27" s="21">
        <f t="shared" si="28"/>
        <v>-0.53424359550561795</v>
      </c>
      <c r="AR27" s="20"/>
      <c r="AS27" s="21"/>
      <c r="AT27" s="20"/>
      <c r="AU27" s="20"/>
      <c r="AV27" s="11">
        <f t="shared" si="14"/>
        <v>-2.072616E-2</v>
      </c>
      <c r="AW27" s="12">
        <f t="shared" si="15"/>
        <v>-1</v>
      </c>
      <c r="AX27" s="20"/>
      <c r="AY27" s="21"/>
      <c r="AZ27" s="20">
        <v>2.5745</v>
      </c>
      <c r="BA27" s="20"/>
      <c r="BB27" s="11">
        <f t="shared" si="17"/>
        <v>2.5745</v>
      </c>
      <c r="BC27" s="12"/>
      <c r="BD27" s="20"/>
      <c r="BE27" s="21"/>
      <c r="BF27" s="20"/>
      <c r="BG27" s="20"/>
      <c r="BH27" s="11">
        <f t="shared" si="20"/>
        <v>-2.5745</v>
      </c>
      <c r="BI27" s="12">
        <f t="shared" si="21"/>
        <v>-1</v>
      </c>
      <c r="BJ27" s="20"/>
      <c r="BK27" s="21"/>
      <c r="BL27" s="20"/>
      <c r="BM27" s="20"/>
      <c r="BN27" s="11"/>
      <c r="BO27" s="12"/>
      <c r="BP27" s="20"/>
      <c r="BQ27" s="21"/>
      <c r="BR27" s="64"/>
      <c r="BS27" s="64"/>
      <c r="BT27" s="20">
        <v>0.23930000000000001</v>
      </c>
      <c r="BU27" s="20"/>
      <c r="BV27" s="11">
        <f t="shared" si="25"/>
        <v>0.23930000000000001</v>
      </c>
      <c r="BW27" s="12"/>
      <c r="BX27" s="20"/>
      <c r="BY27" s="21"/>
    </row>
    <row r="28" spans="1:78" s="13" customFormat="1" ht="25.5" x14ac:dyDescent="0.25">
      <c r="A28" s="5" t="s">
        <v>31</v>
      </c>
      <c r="B28" s="15">
        <v>13.741</v>
      </c>
      <c r="C28" s="16"/>
      <c r="D28" s="17">
        <v>13.179</v>
      </c>
      <c r="E28" s="17"/>
      <c r="F28" s="16">
        <v>-0.56200000000000006</v>
      </c>
      <c r="G28" s="18">
        <v>-4.0899999999999999E-2</v>
      </c>
      <c r="H28" s="19"/>
      <c r="I28" s="19"/>
      <c r="J28" s="20">
        <v>3.2440000000000002</v>
      </c>
      <c r="K28" s="20"/>
      <c r="L28" s="20">
        <f t="shared" ref="L28:L37" si="29">J28-D28</f>
        <v>-9.9350000000000005</v>
      </c>
      <c r="M28" s="21">
        <f t="shared" ref="M28:M37" si="30">L28/D28</f>
        <v>-0.75385082327945974</v>
      </c>
      <c r="N28" s="20"/>
      <c r="O28" s="21"/>
      <c r="P28" s="20">
        <v>12.476000000000001</v>
      </c>
      <c r="Q28" s="20">
        <v>4.734</v>
      </c>
      <c r="R28" s="20">
        <f t="shared" ref="R28:R37" si="31">P28-J28</f>
        <v>9.2320000000000011</v>
      </c>
      <c r="S28" s="21">
        <f t="shared" ref="S28:S37" si="32">R28/J28</f>
        <v>2.8458692971639952</v>
      </c>
      <c r="T28" s="20">
        <f>Q28-K28</f>
        <v>4.734</v>
      </c>
      <c r="U28" s="21"/>
      <c r="V28" s="20">
        <v>4.7510000000000003</v>
      </c>
      <c r="W28" s="20">
        <v>3.0070000000000001</v>
      </c>
      <c r="X28" s="20">
        <f t="shared" ref="X28:X37" si="33">V28-P28</f>
        <v>-7.7250000000000005</v>
      </c>
      <c r="Y28" s="21">
        <f t="shared" ref="Y28:Y37" si="34">X28/P28</f>
        <v>-0.61918884257774931</v>
      </c>
      <c r="Z28" s="20">
        <f>W28-Q28</f>
        <v>-1.7269999999999999</v>
      </c>
      <c r="AA28" s="21">
        <f>Z28/Q28</f>
        <v>-0.36480777355302069</v>
      </c>
      <c r="AB28" s="20">
        <v>3.1900311600000002</v>
      </c>
      <c r="AC28" s="20"/>
      <c r="AD28" s="20">
        <f t="shared" ref="AD28:AD37" si="35">AB28-V28</f>
        <v>-1.5609688400000001</v>
      </c>
      <c r="AE28" s="21">
        <f t="shared" ref="AE28:AE37" si="36">AD28/V28</f>
        <v>-0.32855584929488529</v>
      </c>
      <c r="AF28" s="20">
        <f>AC28-W28</f>
        <v>-3.0070000000000001</v>
      </c>
      <c r="AG28" s="21">
        <f>AF28/W28</f>
        <v>-1</v>
      </c>
      <c r="AH28" s="20">
        <v>36.530200000000001</v>
      </c>
      <c r="AI28" s="20">
        <v>14.8443</v>
      </c>
      <c r="AJ28" s="20">
        <f t="shared" ref="AJ28:AJ51" si="37">AH28-AB28</f>
        <v>33.340168840000004</v>
      </c>
      <c r="AK28" s="21">
        <f t="shared" ref="AK28:AK51" si="38">AJ28/AB28</f>
        <v>10.45136149704569</v>
      </c>
      <c r="AL28" s="20">
        <f t="shared" ref="AL28:AL51" si="39">AI28-AC28</f>
        <v>14.8443</v>
      </c>
      <c r="AM28" s="21"/>
      <c r="AN28" s="20">
        <v>30.071330270000001</v>
      </c>
      <c r="AO28" s="20">
        <v>21.05212337</v>
      </c>
      <c r="AP28" s="20">
        <f t="shared" si="11"/>
        <v>-6.45886973</v>
      </c>
      <c r="AQ28" s="21">
        <f t="shared" si="28"/>
        <v>-0.17680904375010265</v>
      </c>
      <c r="AR28" s="20">
        <f t="shared" ref="AR28:AR51" si="40">AO28-AI28</f>
        <v>6.2078233699999998</v>
      </c>
      <c r="AS28" s="21">
        <f>AR28/AI28</f>
        <v>0.41819576335697872</v>
      </c>
      <c r="AT28" s="20"/>
      <c r="AU28" s="20"/>
      <c r="AV28" s="11">
        <f t="shared" si="14"/>
        <v>-30.071330270000001</v>
      </c>
      <c r="AW28" s="12">
        <f t="shared" si="15"/>
        <v>-1</v>
      </c>
      <c r="AX28" s="20">
        <f t="shared" ref="AX28:AX37" si="41">AU28-AO28</f>
        <v>-21.05212337</v>
      </c>
      <c r="AY28" s="21">
        <f>AX28/AO28</f>
        <v>-1</v>
      </c>
      <c r="AZ28" s="20"/>
      <c r="BA28" s="20"/>
      <c r="BB28" s="11"/>
      <c r="BC28" s="12"/>
      <c r="BD28" s="20"/>
      <c r="BE28" s="21"/>
      <c r="BF28" s="20"/>
      <c r="BG28" s="20"/>
      <c r="BH28" s="11"/>
      <c r="BI28" s="12"/>
      <c r="BJ28" s="20"/>
      <c r="BK28" s="21"/>
      <c r="BL28" s="20"/>
      <c r="BM28" s="20"/>
      <c r="BN28" s="11"/>
      <c r="BO28" s="12"/>
      <c r="BP28" s="20"/>
      <c r="BQ28" s="21"/>
      <c r="BR28" s="64"/>
      <c r="BS28" s="64"/>
      <c r="BT28" s="20"/>
      <c r="BU28" s="20"/>
      <c r="BV28" s="11"/>
      <c r="BW28" s="12"/>
      <c r="BX28" s="20"/>
      <c r="BY28" s="21"/>
    </row>
    <row r="29" spans="1:78" s="13" customFormat="1" ht="25.5" x14ac:dyDescent="0.25">
      <c r="A29" s="14" t="s">
        <v>34</v>
      </c>
      <c r="B29" s="15">
        <v>3.423</v>
      </c>
      <c r="C29" s="16"/>
      <c r="D29" s="17">
        <v>3.851</v>
      </c>
      <c r="E29" s="17"/>
      <c r="F29" s="16">
        <v>0.42799999999999999</v>
      </c>
      <c r="G29" s="18">
        <v>0.125</v>
      </c>
      <c r="H29" s="19"/>
      <c r="I29" s="19"/>
      <c r="J29" s="20">
        <v>0.26400000000000001</v>
      </c>
      <c r="K29" s="20"/>
      <c r="L29" s="20">
        <f t="shared" si="29"/>
        <v>-3.5869999999999997</v>
      </c>
      <c r="M29" s="21">
        <f t="shared" si="30"/>
        <v>-0.93144637756426896</v>
      </c>
      <c r="N29" s="20"/>
      <c r="O29" s="21"/>
      <c r="P29" s="20">
        <v>3.387</v>
      </c>
      <c r="Q29" s="20"/>
      <c r="R29" s="20">
        <f t="shared" si="31"/>
        <v>3.1230000000000002</v>
      </c>
      <c r="S29" s="21">
        <f t="shared" si="32"/>
        <v>11.829545454545455</v>
      </c>
      <c r="T29" s="20"/>
      <c r="U29" s="21"/>
      <c r="V29" s="20">
        <v>4.1859999999999999</v>
      </c>
      <c r="W29" s="20"/>
      <c r="X29" s="20">
        <f t="shared" si="33"/>
        <v>0.79899999999999993</v>
      </c>
      <c r="Y29" s="21">
        <f t="shared" si="34"/>
        <v>0.2359019781517567</v>
      </c>
      <c r="Z29" s="20"/>
      <c r="AA29" s="21"/>
      <c r="AB29" s="20">
        <v>1.7673176399999999</v>
      </c>
      <c r="AC29" s="20"/>
      <c r="AD29" s="20">
        <f t="shared" si="35"/>
        <v>-2.41868236</v>
      </c>
      <c r="AE29" s="21">
        <f t="shared" si="36"/>
        <v>-0.57780276158623989</v>
      </c>
      <c r="AF29" s="20"/>
      <c r="AG29" s="21"/>
      <c r="AH29" s="20">
        <v>1.2870999999999999</v>
      </c>
      <c r="AI29" s="20"/>
      <c r="AJ29" s="20">
        <f t="shared" si="37"/>
        <v>-0.48021764</v>
      </c>
      <c r="AK29" s="21">
        <f t="shared" si="38"/>
        <v>-0.27172118306927556</v>
      </c>
      <c r="AL29" s="20">
        <f t="shared" si="39"/>
        <v>0</v>
      </c>
      <c r="AM29" s="21"/>
      <c r="AN29" s="20">
        <v>1.64097822</v>
      </c>
      <c r="AO29" s="20"/>
      <c r="AP29" s="20">
        <f t="shared" si="11"/>
        <v>0.35387822000000013</v>
      </c>
      <c r="AQ29" s="21">
        <f t="shared" si="28"/>
        <v>0.27494228886644406</v>
      </c>
      <c r="AR29" s="20">
        <f t="shared" si="40"/>
        <v>0</v>
      </c>
      <c r="AS29" s="21"/>
      <c r="AT29" s="20">
        <v>6.0441469999999997E-2</v>
      </c>
      <c r="AU29" s="20"/>
      <c r="AV29" s="11">
        <f t="shared" si="14"/>
        <v>-1.58053675</v>
      </c>
      <c r="AW29" s="12">
        <f t="shared" si="15"/>
        <v>-0.96316741486063107</v>
      </c>
      <c r="AX29" s="20">
        <f t="shared" si="41"/>
        <v>0</v>
      </c>
      <c r="AY29" s="21"/>
      <c r="AZ29" s="20">
        <v>5.6632999999999996</v>
      </c>
      <c r="BA29" s="20"/>
      <c r="BB29" s="11">
        <f t="shared" ref="BB29:BB37" si="42">AZ29-AT29</f>
        <v>5.6028585299999998</v>
      </c>
      <c r="BC29" s="12">
        <f t="shared" ref="BC29:BC37" si="43">BB29/AT29</f>
        <v>92.698912352727362</v>
      </c>
      <c r="BD29" s="20">
        <f t="shared" ref="BD29:BD37" si="44">BA29-AU29</f>
        <v>0</v>
      </c>
      <c r="BE29" s="21"/>
      <c r="BF29" s="20">
        <f>0.0010575*1000</f>
        <v>1.0575000000000001</v>
      </c>
      <c r="BG29" s="20">
        <v>0</v>
      </c>
      <c r="BH29" s="11">
        <f t="shared" ref="BH29:BH37" si="45">BF29-AZ29</f>
        <v>-4.6057999999999995</v>
      </c>
      <c r="BI29" s="12">
        <f t="shared" ref="BI29:BI37" si="46">BH29/AZ29</f>
        <v>-0.8132714141931382</v>
      </c>
      <c r="BJ29" s="20">
        <f t="shared" ref="BJ29:BJ37" si="47">BG29-BA29</f>
        <v>0</v>
      </c>
      <c r="BK29" s="21"/>
      <c r="BL29" s="20">
        <v>1.2500000000000001E-2</v>
      </c>
      <c r="BM29" s="20"/>
      <c r="BN29" s="11">
        <f t="shared" ref="BN29:BN37" si="48">BL29-BF29</f>
        <v>-1.0450000000000002</v>
      </c>
      <c r="BO29" s="12">
        <f t="shared" ref="BO29:BO37" si="49">BN29/BF29</f>
        <v>-0.98817966903073295</v>
      </c>
      <c r="BP29" s="20"/>
      <c r="BQ29" s="21"/>
      <c r="BR29" s="64">
        <v>1.3599999999999999E-2</v>
      </c>
      <c r="BS29" s="64"/>
      <c r="BT29" s="20">
        <v>1.7419</v>
      </c>
      <c r="BU29" s="20"/>
      <c r="BV29" s="11">
        <f t="shared" si="25"/>
        <v>1.7282999999999999</v>
      </c>
      <c r="BW29" s="12">
        <f t="shared" si="26"/>
        <v>127.08088235294117</v>
      </c>
      <c r="BX29" s="20"/>
      <c r="BY29" s="21"/>
    </row>
    <row r="30" spans="1:78" s="13" customFormat="1" ht="25.5" x14ac:dyDescent="0.25">
      <c r="A30" s="5" t="s">
        <v>35</v>
      </c>
      <c r="B30" s="15">
        <v>87.122</v>
      </c>
      <c r="C30" s="16"/>
      <c r="D30" s="17">
        <v>51.796999999999997</v>
      </c>
      <c r="E30" s="17">
        <v>22.03</v>
      </c>
      <c r="F30" s="16">
        <v>-35.325000000000003</v>
      </c>
      <c r="G30" s="18">
        <v>-0.40550000000000003</v>
      </c>
      <c r="H30" s="19">
        <v>22.03</v>
      </c>
      <c r="I30" s="18">
        <v>0.42530000000000001</v>
      </c>
      <c r="J30" s="20">
        <v>59.473999999999997</v>
      </c>
      <c r="K30" s="20">
        <v>10.574</v>
      </c>
      <c r="L30" s="20">
        <f t="shared" si="29"/>
        <v>7.6769999999999996</v>
      </c>
      <c r="M30" s="21">
        <f t="shared" si="30"/>
        <v>0.14821321698167847</v>
      </c>
      <c r="N30" s="20">
        <f>K30-E30</f>
        <v>-11.456000000000001</v>
      </c>
      <c r="O30" s="21">
        <f>N30/E30</f>
        <v>-0.52001815705855658</v>
      </c>
      <c r="P30" s="20">
        <v>98.295000000000002</v>
      </c>
      <c r="Q30" s="20"/>
      <c r="R30" s="20">
        <f t="shared" si="31"/>
        <v>38.821000000000005</v>
      </c>
      <c r="S30" s="21">
        <f t="shared" si="32"/>
        <v>0.65273901200524609</v>
      </c>
      <c r="T30" s="20">
        <f>Q30-K30</f>
        <v>-10.574</v>
      </c>
      <c r="U30" s="21">
        <f>T30/K30</f>
        <v>-1</v>
      </c>
      <c r="V30" s="20">
        <v>84.887</v>
      </c>
      <c r="W30" s="20">
        <v>7.774</v>
      </c>
      <c r="X30" s="20">
        <f t="shared" si="33"/>
        <v>-13.408000000000001</v>
      </c>
      <c r="Y30" s="21">
        <f t="shared" si="34"/>
        <v>-0.13640571748308664</v>
      </c>
      <c r="Z30" s="20">
        <f>W30-Q30</f>
        <v>7.774</v>
      </c>
      <c r="AA30" s="21"/>
      <c r="AB30" s="20">
        <v>53.94972834</v>
      </c>
      <c r="AC30" s="20"/>
      <c r="AD30" s="20">
        <f t="shared" si="35"/>
        <v>-30.93727166</v>
      </c>
      <c r="AE30" s="21">
        <f t="shared" si="36"/>
        <v>-0.36445240920282257</v>
      </c>
      <c r="AF30" s="20">
        <f>AC30-W30</f>
        <v>-7.774</v>
      </c>
      <c r="AG30" s="21"/>
      <c r="AH30" s="20">
        <v>63.131</v>
      </c>
      <c r="AI30" s="20">
        <v>5.1387999999999998</v>
      </c>
      <c r="AJ30" s="20">
        <f t="shared" si="37"/>
        <v>9.1812716600000002</v>
      </c>
      <c r="AK30" s="21">
        <f t="shared" si="38"/>
        <v>0.1701819813093057</v>
      </c>
      <c r="AL30" s="20">
        <f t="shared" si="39"/>
        <v>5.1387999999999998</v>
      </c>
      <c r="AM30" s="21"/>
      <c r="AN30" s="20">
        <v>77.420180259999995</v>
      </c>
      <c r="AO30" s="20"/>
      <c r="AP30" s="20">
        <f t="shared" si="11"/>
        <v>14.289180259999995</v>
      </c>
      <c r="AQ30" s="21">
        <f t="shared" si="28"/>
        <v>0.22634173797342028</v>
      </c>
      <c r="AR30" s="20">
        <f t="shared" si="40"/>
        <v>-5.1387999999999998</v>
      </c>
      <c r="AS30" s="21">
        <f>AR30/AI30</f>
        <v>-1</v>
      </c>
      <c r="AT30" s="20">
        <v>73.361650409999996</v>
      </c>
      <c r="AU30" s="20"/>
      <c r="AV30" s="11">
        <f t="shared" si="14"/>
        <v>-4.0585298499999993</v>
      </c>
      <c r="AW30" s="12">
        <f t="shared" si="15"/>
        <v>-5.2422118320704612E-2</v>
      </c>
      <c r="AX30" s="20">
        <f t="shared" si="41"/>
        <v>0</v>
      </c>
      <c r="AY30" s="21"/>
      <c r="AZ30" s="20">
        <v>64.976399999999998</v>
      </c>
      <c r="BA30" s="20"/>
      <c r="BB30" s="11">
        <f t="shared" si="42"/>
        <v>-8.3852504099999976</v>
      </c>
      <c r="BC30" s="12">
        <f t="shared" si="43"/>
        <v>-0.11430018767485356</v>
      </c>
      <c r="BD30" s="20">
        <f t="shared" si="44"/>
        <v>0</v>
      </c>
      <c r="BE30" s="21"/>
      <c r="BF30" s="20">
        <f>0.0585261*1000</f>
        <v>58.5261</v>
      </c>
      <c r="BG30" s="20">
        <v>0</v>
      </c>
      <c r="BH30" s="11">
        <f t="shared" si="45"/>
        <v>-6.4502999999999986</v>
      </c>
      <c r="BI30" s="12">
        <f t="shared" si="46"/>
        <v>-9.9271427779932392E-2</v>
      </c>
      <c r="BJ30" s="20">
        <f t="shared" si="47"/>
        <v>0</v>
      </c>
      <c r="BK30" s="21"/>
      <c r="BL30" s="20">
        <v>51.179600000000001</v>
      </c>
      <c r="BM30" s="20"/>
      <c r="BN30" s="11">
        <f t="shared" si="48"/>
        <v>-7.3464999999999989</v>
      </c>
      <c r="BO30" s="12">
        <f t="shared" si="49"/>
        <v>-0.12552519303353546</v>
      </c>
      <c r="BP30" s="20"/>
      <c r="BQ30" s="21"/>
      <c r="BR30" s="64">
        <v>51.179600000000001</v>
      </c>
      <c r="BS30" s="64"/>
      <c r="BT30" s="20">
        <v>64.774699999999996</v>
      </c>
      <c r="BU30" s="20"/>
      <c r="BV30" s="11">
        <f t="shared" si="25"/>
        <v>13.595099999999995</v>
      </c>
      <c r="BW30" s="12">
        <f t="shared" si="26"/>
        <v>0.26563513587444987</v>
      </c>
      <c r="BX30" s="20"/>
      <c r="BY30" s="21"/>
    </row>
    <row r="31" spans="1:78" s="13" customFormat="1" ht="25.5" x14ac:dyDescent="0.25">
      <c r="A31" s="5" t="s">
        <v>36</v>
      </c>
      <c r="B31" s="15">
        <v>21.670999999999999</v>
      </c>
      <c r="C31" s="16">
        <v>8.2379999999999995</v>
      </c>
      <c r="D31" s="17">
        <v>20.617000000000001</v>
      </c>
      <c r="E31" s="17">
        <v>7.476</v>
      </c>
      <c r="F31" s="16">
        <v>-1.054</v>
      </c>
      <c r="G31" s="18">
        <v>-4.8599999999999997E-2</v>
      </c>
      <c r="H31" s="19">
        <v>-0.76200000000000001</v>
      </c>
      <c r="I31" s="18">
        <v>-3.6999999999999998E-2</v>
      </c>
      <c r="J31" s="20">
        <v>23.32</v>
      </c>
      <c r="K31" s="20">
        <v>5.1050000000000004</v>
      </c>
      <c r="L31" s="20">
        <f t="shared" si="29"/>
        <v>2.7029999999999994</v>
      </c>
      <c r="M31" s="21">
        <f t="shared" si="30"/>
        <v>0.13110539845758351</v>
      </c>
      <c r="N31" s="20">
        <f>K31-E31</f>
        <v>-2.3709999999999996</v>
      </c>
      <c r="O31" s="21">
        <f>N31/E31</f>
        <v>-0.31714820759764573</v>
      </c>
      <c r="P31" s="20">
        <v>35.840000000000003</v>
      </c>
      <c r="Q31" s="20">
        <v>16.431000000000001</v>
      </c>
      <c r="R31" s="20">
        <f t="shared" si="31"/>
        <v>12.520000000000003</v>
      </c>
      <c r="S31" s="21">
        <f t="shared" si="32"/>
        <v>0.53687821612349929</v>
      </c>
      <c r="T31" s="20">
        <f>Q31-K31</f>
        <v>11.326000000000001</v>
      </c>
      <c r="U31" s="21">
        <f>T31/K31</f>
        <v>2.2186092066601368</v>
      </c>
      <c r="V31" s="20">
        <v>30.271999999999998</v>
      </c>
      <c r="W31" s="20">
        <v>2.8</v>
      </c>
      <c r="X31" s="20">
        <f t="shared" si="33"/>
        <v>-5.5680000000000049</v>
      </c>
      <c r="Y31" s="21">
        <f t="shared" si="34"/>
        <v>-0.15535714285714297</v>
      </c>
      <c r="Z31" s="20">
        <f>W31-Q31</f>
        <v>-13.631</v>
      </c>
      <c r="AA31" s="21">
        <f>Z31/Q31</f>
        <v>-0.82959040837441422</v>
      </c>
      <c r="AB31" s="20">
        <v>11.78626191</v>
      </c>
      <c r="AC31" s="20"/>
      <c r="AD31" s="20">
        <f t="shared" si="35"/>
        <v>-18.485738089999998</v>
      </c>
      <c r="AE31" s="21">
        <f t="shared" si="36"/>
        <v>-0.61065466734936569</v>
      </c>
      <c r="AF31" s="20">
        <f>AC31-W31</f>
        <v>-2.8</v>
      </c>
      <c r="AG31" s="21">
        <f>AF31/W31</f>
        <v>-1</v>
      </c>
      <c r="AH31" s="20">
        <v>22.866</v>
      </c>
      <c r="AI31" s="20">
        <v>6.3053999999999997</v>
      </c>
      <c r="AJ31" s="20">
        <f t="shared" si="37"/>
        <v>11.079738089999999</v>
      </c>
      <c r="AK31" s="21">
        <f t="shared" si="38"/>
        <v>0.94005530969912066</v>
      </c>
      <c r="AL31" s="20">
        <f t="shared" si="39"/>
        <v>6.3053999999999997</v>
      </c>
      <c r="AM31" s="21"/>
      <c r="AN31" s="20">
        <v>27.493594359999999</v>
      </c>
      <c r="AO31" s="20">
        <v>12.02924408</v>
      </c>
      <c r="AP31" s="20">
        <f t="shared" si="11"/>
        <v>4.6275943599999998</v>
      </c>
      <c r="AQ31" s="21">
        <f t="shared" si="28"/>
        <v>0.20237883145281202</v>
      </c>
      <c r="AR31" s="20">
        <f t="shared" si="40"/>
        <v>5.7238440800000001</v>
      </c>
      <c r="AS31" s="21">
        <f>AR31/AI31</f>
        <v>0.90776859200050752</v>
      </c>
      <c r="AT31" s="20">
        <v>19.73718809</v>
      </c>
      <c r="AU31" s="20"/>
      <c r="AV31" s="11">
        <f t="shared" si="14"/>
        <v>-7.7564062699999994</v>
      </c>
      <c r="AW31" s="12">
        <f t="shared" si="15"/>
        <v>-0.28211685123588909</v>
      </c>
      <c r="AX31" s="20">
        <f t="shared" si="41"/>
        <v>-12.02924408</v>
      </c>
      <c r="AY31" s="21">
        <f>AX31/AO31</f>
        <v>-1</v>
      </c>
      <c r="AZ31" s="20">
        <v>26.936299999999999</v>
      </c>
      <c r="BA31" s="20">
        <v>12.3095</v>
      </c>
      <c r="BB31" s="11">
        <f t="shared" si="42"/>
        <v>7.1991119099999992</v>
      </c>
      <c r="BC31" s="12">
        <f t="shared" si="43"/>
        <v>0.36474860943578308</v>
      </c>
      <c r="BD31" s="20">
        <f t="shared" si="44"/>
        <v>12.3095</v>
      </c>
      <c r="BE31" s="21"/>
      <c r="BF31" s="20">
        <f>0.0297359*1000</f>
        <v>29.735900000000001</v>
      </c>
      <c r="BG31" s="20">
        <f>0.0178921*1000</f>
        <v>17.892100000000003</v>
      </c>
      <c r="BH31" s="11">
        <f t="shared" si="45"/>
        <v>2.7996000000000016</v>
      </c>
      <c r="BI31" s="12">
        <f t="shared" si="46"/>
        <v>0.10393409636809814</v>
      </c>
      <c r="BJ31" s="20">
        <f t="shared" si="47"/>
        <v>5.5826000000000029</v>
      </c>
      <c r="BK31" s="21">
        <f t="shared" ref="BK31:BK58" si="50">BJ31/BA31</f>
        <v>0.45351963930297762</v>
      </c>
      <c r="BL31" s="20">
        <v>6.9603000000000002</v>
      </c>
      <c r="BM31" s="20"/>
      <c r="BN31" s="11">
        <f t="shared" si="48"/>
        <v>-22.775600000000001</v>
      </c>
      <c r="BO31" s="12">
        <f t="shared" si="49"/>
        <v>-0.76592939847120822</v>
      </c>
      <c r="BP31" s="20">
        <f>BM31-BG31</f>
        <v>-17.892100000000003</v>
      </c>
      <c r="BQ31" s="21">
        <f>BP31/BG31</f>
        <v>-1</v>
      </c>
      <c r="BR31" s="64">
        <v>6.8859000000000004</v>
      </c>
      <c r="BS31" s="64"/>
      <c r="BT31" s="20">
        <v>18.4819</v>
      </c>
      <c r="BU31" s="20">
        <v>10.321300000000001</v>
      </c>
      <c r="BV31" s="11">
        <f t="shared" si="25"/>
        <v>11.596</v>
      </c>
      <c r="BW31" s="12">
        <f t="shared" si="26"/>
        <v>1.6840209703887654</v>
      </c>
      <c r="BX31" s="20">
        <f t="shared" ref="BX31:BX32" si="51">BU31-BS31</f>
        <v>10.321300000000001</v>
      </c>
      <c r="BY31" s="21"/>
      <c r="BZ31" s="35"/>
    </row>
    <row r="32" spans="1:78" s="13" customFormat="1" ht="25.5" x14ac:dyDescent="0.25">
      <c r="A32" s="5" t="s">
        <v>37</v>
      </c>
      <c r="B32" s="15">
        <v>8.1359999999999992</v>
      </c>
      <c r="C32" s="16"/>
      <c r="D32" s="17">
        <v>9.859</v>
      </c>
      <c r="E32" s="17">
        <v>1.2629999999999999</v>
      </c>
      <c r="F32" s="16">
        <v>1.7230000000000001</v>
      </c>
      <c r="G32" s="18">
        <v>0.21179999999999999</v>
      </c>
      <c r="H32" s="19">
        <v>1.2629999999999999</v>
      </c>
      <c r="I32" s="18">
        <v>0.12809999999999999</v>
      </c>
      <c r="J32" s="20">
        <v>2.0310000000000001</v>
      </c>
      <c r="K32" s="20"/>
      <c r="L32" s="20">
        <f t="shared" si="29"/>
        <v>-7.8279999999999994</v>
      </c>
      <c r="M32" s="21">
        <f t="shared" si="30"/>
        <v>-0.79399533421239465</v>
      </c>
      <c r="N32" s="20">
        <f>K32-E32</f>
        <v>-1.2629999999999999</v>
      </c>
      <c r="O32" s="21">
        <f>N32/E32</f>
        <v>-1</v>
      </c>
      <c r="P32" s="20">
        <v>11.247</v>
      </c>
      <c r="Q32" s="20">
        <v>1.7849999999999999</v>
      </c>
      <c r="R32" s="20">
        <f t="shared" si="31"/>
        <v>9.2159999999999993</v>
      </c>
      <c r="S32" s="21">
        <f t="shared" si="32"/>
        <v>4.5376661742983746</v>
      </c>
      <c r="T32" s="20">
        <f>Q32-K32</f>
        <v>1.7849999999999999</v>
      </c>
      <c r="U32" s="21"/>
      <c r="V32" s="20">
        <v>8.5280000000000005</v>
      </c>
      <c r="W32" s="20">
        <v>2.298</v>
      </c>
      <c r="X32" s="20">
        <f t="shared" si="33"/>
        <v>-2.7189999999999994</v>
      </c>
      <c r="Y32" s="21">
        <f t="shared" si="34"/>
        <v>-0.241753356450609</v>
      </c>
      <c r="Z32" s="20">
        <f>W32-Q32</f>
        <v>0.51300000000000012</v>
      </c>
      <c r="AA32" s="21">
        <f>Z32/Q32</f>
        <v>0.28739495798319337</v>
      </c>
      <c r="AB32" s="20">
        <v>1.9428176699999999</v>
      </c>
      <c r="AC32" s="20"/>
      <c r="AD32" s="20">
        <f t="shared" si="35"/>
        <v>-6.5851823300000003</v>
      </c>
      <c r="AE32" s="21">
        <f t="shared" si="36"/>
        <v>-0.77218366909005631</v>
      </c>
      <c r="AF32" s="20">
        <f>AC32-W32</f>
        <v>-2.298</v>
      </c>
      <c r="AG32" s="21">
        <f>AF32/W32</f>
        <v>-1</v>
      </c>
      <c r="AH32" s="20">
        <v>21.105699999999999</v>
      </c>
      <c r="AI32" s="20">
        <v>2.8633000000000002</v>
      </c>
      <c r="AJ32" s="20">
        <f t="shared" si="37"/>
        <v>19.162882329999999</v>
      </c>
      <c r="AK32" s="21">
        <f t="shared" si="38"/>
        <v>9.8634486529042125</v>
      </c>
      <c r="AL32" s="20">
        <f t="shared" si="39"/>
        <v>2.8633000000000002</v>
      </c>
      <c r="AM32" s="21"/>
      <c r="AN32" s="20">
        <v>49.487851849999998</v>
      </c>
      <c r="AO32" s="20">
        <v>4.7854440900000004</v>
      </c>
      <c r="AP32" s="20">
        <f t="shared" si="11"/>
        <v>28.38215185</v>
      </c>
      <c r="AQ32" s="21">
        <f t="shared" si="28"/>
        <v>1.344762403047518</v>
      </c>
      <c r="AR32" s="20">
        <f t="shared" si="40"/>
        <v>1.9221440900000002</v>
      </c>
      <c r="AS32" s="21">
        <f>AR32/AI32</f>
        <v>0.67130377187161672</v>
      </c>
      <c r="AT32" s="20">
        <v>7.56598799</v>
      </c>
      <c r="AU32" s="20"/>
      <c r="AV32" s="11">
        <f t="shared" si="14"/>
        <v>-41.921863860000002</v>
      </c>
      <c r="AW32" s="12">
        <f t="shared" si="15"/>
        <v>-0.84711423698622323</v>
      </c>
      <c r="AX32" s="20">
        <f t="shared" si="41"/>
        <v>-4.7854440900000004</v>
      </c>
      <c r="AY32" s="21">
        <f>AX32/AO32</f>
        <v>-1</v>
      </c>
      <c r="AZ32" s="20">
        <v>11.4055</v>
      </c>
      <c r="BA32" s="20"/>
      <c r="BB32" s="11">
        <f t="shared" si="42"/>
        <v>3.83951201</v>
      </c>
      <c r="BC32" s="12">
        <f t="shared" si="43"/>
        <v>0.50747001119677959</v>
      </c>
      <c r="BD32" s="20">
        <f t="shared" si="44"/>
        <v>0</v>
      </c>
      <c r="BE32" s="21"/>
      <c r="BF32" s="20">
        <f>0.0130533*1000</f>
        <v>13.0533</v>
      </c>
      <c r="BG32" s="20">
        <f>0.0047307*1000</f>
        <v>4.7306999999999997</v>
      </c>
      <c r="BH32" s="11">
        <f t="shared" si="45"/>
        <v>1.6478000000000002</v>
      </c>
      <c r="BI32" s="12">
        <f t="shared" si="46"/>
        <v>0.14447415720485732</v>
      </c>
      <c r="BJ32" s="20">
        <f t="shared" si="47"/>
        <v>4.7306999999999997</v>
      </c>
      <c r="BK32" s="21"/>
      <c r="BL32" s="20">
        <v>14.0276</v>
      </c>
      <c r="BM32" s="20"/>
      <c r="BN32" s="11">
        <f t="shared" si="48"/>
        <v>0.9742999999999995</v>
      </c>
      <c r="BO32" s="12">
        <f t="shared" si="49"/>
        <v>7.4640129315958384E-2</v>
      </c>
      <c r="BP32" s="20">
        <f>BM32-BG32</f>
        <v>-4.7306999999999997</v>
      </c>
      <c r="BQ32" s="21"/>
      <c r="BR32" s="64">
        <v>14.0276</v>
      </c>
      <c r="BS32" s="64"/>
      <c r="BT32" s="20">
        <v>45.654000000000003</v>
      </c>
      <c r="BU32" s="20">
        <v>6.3616999999999999</v>
      </c>
      <c r="BV32" s="11">
        <f t="shared" si="25"/>
        <v>31.626400000000004</v>
      </c>
      <c r="BW32" s="12">
        <f t="shared" si="26"/>
        <v>2.2545838204682203</v>
      </c>
      <c r="BX32" s="20">
        <f t="shared" si="51"/>
        <v>6.3616999999999999</v>
      </c>
      <c r="BY32" s="21"/>
      <c r="BZ32" s="35"/>
    </row>
    <row r="33" spans="1:78" s="13" customFormat="1" ht="25.5" x14ac:dyDescent="0.25">
      <c r="A33" s="5" t="s">
        <v>38</v>
      </c>
      <c r="B33" s="15">
        <v>15.888</v>
      </c>
      <c r="C33" s="16">
        <v>0.91200000000000003</v>
      </c>
      <c r="D33" s="17">
        <v>13.532</v>
      </c>
      <c r="E33" s="17">
        <v>5.1310000000000002</v>
      </c>
      <c r="F33" s="16">
        <v>-2.3559999999999999</v>
      </c>
      <c r="G33" s="18">
        <v>-0.14829999999999999</v>
      </c>
      <c r="H33" s="19">
        <v>4.2190000000000003</v>
      </c>
      <c r="I33" s="18">
        <v>0.31180000000000002</v>
      </c>
      <c r="J33" s="20">
        <v>3.8610000000000002</v>
      </c>
      <c r="K33" s="20"/>
      <c r="L33" s="20">
        <f t="shared" si="29"/>
        <v>-9.6709999999999994</v>
      </c>
      <c r="M33" s="21">
        <f t="shared" si="30"/>
        <v>-0.7146763227904227</v>
      </c>
      <c r="N33" s="20">
        <f>K33-E33</f>
        <v>-5.1310000000000002</v>
      </c>
      <c r="O33" s="21">
        <f>N33/E33</f>
        <v>-1</v>
      </c>
      <c r="P33" s="20">
        <v>13.093</v>
      </c>
      <c r="Q33" s="20">
        <v>0.37</v>
      </c>
      <c r="R33" s="20">
        <f t="shared" si="31"/>
        <v>9.2319999999999993</v>
      </c>
      <c r="S33" s="21">
        <f t="shared" si="32"/>
        <v>2.3910903910903909</v>
      </c>
      <c r="T33" s="20">
        <f>Q33-K33</f>
        <v>0.37</v>
      </c>
      <c r="U33" s="21"/>
      <c r="V33" s="20">
        <v>16.384</v>
      </c>
      <c r="W33" s="20">
        <v>1.956</v>
      </c>
      <c r="X33" s="20">
        <f t="shared" si="33"/>
        <v>3.2910000000000004</v>
      </c>
      <c r="Y33" s="21">
        <f t="shared" si="34"/>
        <v>0.25135568624455817</v>
      </c>
      <c r="Z33" s="20">
        <f>W33-Q33</f>
        <v>1.5859999999999999</v>
      </c>
      <c r="AA33" s="21">
        <f>Z33/Q33</f>
        <v>4.2864864864864858</v>
      </c>
      <c r="AB33" s="20">
        <v>3.3656575599999998</v>
      </c>
      <c r="AC33" s="20"/>
      <c r="AD33" s="20">
        <f t="shared" si="35"/>
        <v>-13.018342440000001</v>
      </c>
      <c r="AE33" s="21">
        <f t="shared" si="36"/>
        <v>-0.79457656494140627</v>
      </c>
      <c r="AF33" s="20">
        <f>AC33-W33</f>
        <v>-1.956</v>
      </c>
      <c r="AG33" s="21">
        <f>AF33/W33</f>
        <v>-1</v>
      </c>
      <c r="AH33" s="20">
        <v>21.252700000000001</v>
      </c>
      <c r="AI33" s="20">
        <v>2.4009999999999998</v>
      </c>
      <c r="AJ33" s="20">
        <f t="shared" si="37"/>
        <v>17.887042440000002</v>
      </c>
      <c r="AK33" s="21">
        <f t="shared" si="38"/>
        <v>5.3145758655256667</v>
      </c>
      <c r="AL33" s="20">
        <f t="shared" si="39"/>
        <v>2.4009999999999998</v>
      </c>
      <c r="AM33" s="21"/>
      <c r="AN33" s="20">
        <v>19.61341844</v>
      </c>
      <c r="AO33" s="20">
        <v>4.2053137300000003</v>
      </c>
      <c r="AP33" s="20">
        <f t="shared" si="11"/>
        <v>-1.6392815600000006</v>
      </c>
      <c r="AQ33" s="21">
        <f t="shared" si="28"/>
        <v>-7.7132861236454686E-2</v>
      </c>
      <c r="AR33" s="20">
        <f t="shared" si="40"/>
        <v>1.8043137300000005</v>
      </c>
      <c r="AS33" s="21">
        <f>AR33/AI33</f>
        <v>0.75148426905456089</v>
      </c>
      <c r="AT33" s="20">
        <v>4.0957588600000001</v>
      </c>
      <c r="AU33" s="20"/>
      <c r="AV33" s="11">
        <f t="shared" si="14"/>
        <v>-15.51765958</v>
      </c>
      <c r="AW33" s="12">
        <f t="shared" si="15"/>
        <v>-0.79117567534035638</v>
      </c>
      <c r="AX33" s="20">
        <f t="shared" si="41"/>
        <v>-4.2053137300000003</v>
      </c>
      <c r="AY33" s="21">
        <f>AX33/AO33</f>
        <v>-1</v>
      </c>
      <c r="AZ33" s="20">
        <v>18.410299999999999</v>
      </c>
      <c r="BA33" s="20"/>
      <c r="BB33" s="11">
        <f t="shared" si="42"/>
        <v>14.314541139999999</v>
      </c>
      <c r="BC33" s="12">
        <f t="shared" si="43"/>
        <v>3.4949667764376144</v>
      </c>
      <c r="BD33" s="20">
        <f t="shared" si="44"/>
        <v>0</v>
      </c>
      <c r="BE33" s="21"/>
      <c r="BF33" s="20">
        <f>0.0218534*1000</f>
        <v>21.853399999999997</v>
      </c>
      <c r="BG33" s="20">
        <f>0.0076924*1000</f>
        <v>7.6924000000000001</v>
      </c>
      <c r="BH33" s="11">
        <f t="shared" si="45"/>
        <v>3.4430999999999976</v>
      </c>
      <c r="BI33" s="12">
        <f t="shared" si="46"/>
        <v>0.18702030928339014</v>
      </c>
      <c r="BJ33" s="20">
        <f t="shared" si="47"/>
        <v>7.6924000000000001</v>
      </c>
      <c r="BK33" s="21"/>
      <c r="BL33" s="20">
        <v>2.3597000000000001</v>
      </c>
      <c r="BM33" s="20"/>
      <c r="BN33" s="11">
        <f t="shared" si="48"/>
        <v>-19.493699999999997</v>
      </c>
      <c r="BO33" s="12">
        <f t="shared" si="49"/>
        <v>-0.89202137882434773</v>
      </c>
      <c r="BP33" s="20">
        <f>BM33-BG33</f>
        <v>-7.6924000000000001</v>
      </c>
      <c r="BQ33" s="21"/>
      <c r="BR33" s="64">
        <v>2.3841999999999999</v>
      </c>
      <c r="BS33" s="64"/>
      <c r="BT33" s="20">
        <v>7.1658999999999997</v>
      </c>
      <c r="BU33" s="20"/>
      <c r="BV33" s="11">
        <f t="shared" si="25"/>
        <v>4.7816999999999998</v>
      </c>
      <c r="BW33" s="12">
        <f t="shared" si="26"/>
        <v>2.0055783910745744</v>
      </c>
      <c r="BX33" s="20"/>
      <c r="BY33" s="21"/>
    </row>
    <row r="34" spans="1:78" s="13" customFormat="1" ht="25.5" x14ac:dyDescent="0.25">
      <c r="A34" s="5" t="s">
        <v>39</v>
      </c>
      <c r="B34" s="15">
        <v>14.603999999999999</v>
      </c>
      <c r="C34" s="16"/>
      <c r="D34" s="17">
        <v>12.391</v>
      </c>
      <c r="E34" s="17"/>
      <c r="F34" s="16">
        <v>-2.2130000000000001</v>
      </c>
      <c r="G34" s="18">
        <v>-0.1515</v>
      </c>
      <c r="H34" s="19"/>
      <c r="I34" s="19"/>
      <c r="J34" s="20">
        <v>3.3</v>
      </c>
      <c r="K34" s="20"/>
      <c r="L34" s="20">
        <f t="shared" si="29"/>
        <v>-9.0910000000000011</v>
      </c>
      <c r="M34" s="21">
        <f t="shared" si="30"/>
        <v>-0.73367766927608757</v>
      </c>
      <c r="N34" s="20"/>
      <c r="O34" s="21"/>
      <c r="P34" s="20">
        <v>26.542999999999999</v>
      </c>
      <c r="Q34" s="20"/>
      <c r="R34" s="20">
        <f t="shared" si="31"/>
        <v>23.242999999999999</v>
      </c>
      <c r="S34" s="21">
        <f t="shared" si="32"/>
        <v>7.043333333333333</v>
      </c>
      <c r="T34" s="20"/>
      <c r="U34" s="21"/>
      <c r="V34" s="20">
        <v>13.141</v>
      </c>
      <c r="W34" s="20"/>
      <c r="X34" s="20">
        <f t="shared" si="33"/>
        <v>-13.401999999999999</v>
      </c>
      <c r="Y34" s="21">
        <f t="shared" si="34"/>
        <v>-0.50491655050295747</v>
      </c>
      <c r="Z34" s="20"/>
      <c r="AA34" s="21"/>
      <c r="AB34" s="20">
        <v>2.13285115</v>
      </c>
      <c r="AC34" s="20"/>
      <c r="AD34" s="20">
        <f t="shared" si="35"/>
        <v>-11.00814885</v>
      </c>
      <c r="AE34" s="21">
        <f t="shared" si="36"/>
        <v>-0.83769491286812259</v>
      </c>
      <c r="AF34" s="20"/>
      <c r="AG34" s="21"/>
      <c r="AH34" s="20">
        <v>23.599900000000002</v>
      </c>
      <c r="AI34" s="20"/>
      <c r="AJ34" s="20">
        <f t="shared" si="37"/>
        <v>21.467048850000001</v>
      </c>
      <c r="AK34" s="21">
        <f t="shared" si="38"/>
        <v>10.064954063953314</v>
      </c>
      <c r="AL34" s="20">
        <f t="shared" si="39"/>
        <v>0</v>
      </c>
      <c r="AM34" s="21"/>
      <c r="AN34" s="20">
        <v>20.873376480000001</v>
      </c>
      <c r="AO34" s="20"/>
      <c r="AP34" s="20">
        <f t="shared" si="11"/>
        <v>-2.7265235200000006</v>
      </c>
      <c r="AQ34" s="21">
        <f t="shared" si="28"/>
        <v>-0.11553114716587784</v>
      </c>
      <c r="AR34" s="20">
        <f t="shared" si="40"/>
        <v>0</v>
      </c>
      <c r="AS34" s="21"/>
      <c r="AT34" s="20">
        <v>3.3273575399999999</v>
      </c>
      <c r="AU34" s="20"/>
      <c r="AV34" s="11">
        <f t="shared" si="14"/>
        <v>-17.54601894</v>
      </c>
      <c r="AW34" s="12">
        <f t="shared" si="15"/>
        <v>-0.84059322921770052</v>
      </c>
      <c r="AX34" s="20">
        <f t="shared" si="41"/>
        <v>0</v>
      </c>
      <c r="AY34" s="21"/>
      <c r="AZ34" s="20">
        <v>27.3904</v>
      </c>
      <c r="BA34" s="20"/>
      <c r="BB34" s="11">
        <f t="shared" si="42"/>
        <v>24.063042459999998</v>
      </c>
      <c r="BC34" s="12">
        <f t="shared" si="43"/>
        <v>7.2318775997844824</v>
      </c>
      <c r="BD34" s="20">
        <f t="shared" si="44"/>
        <v>0</v>
      </c>
      <c r="BE34" s="21"/>
      <c r="BF34" s="20">
        <f>0.0216447*1000</f>
        <v>21.6447</v>
      </c>
      <c r="BG34" s="20">
        <v>0</v>
      </c>
      <c r="BH34" s="11">
        <f t="shared" si="45"/>
        <v>-5.7456999999999994</v>
      </c>
      <c r="BI34" s="12">
        <f t="shared" si="46"/>
        <v>-0.20977057655236869</v>
      </c>
      <c r="BJ34" s="20">
        <f t="shared" si="47"/>
        <v>0</v>
      </c>
      <c r="BK34" s="21"/>
      <c r="BL34" s="20">
        <v>12.7812</v>
      </c>
      <c r="BM34" s="20"/>
      <c r="BN34" s="11">
        <f t="shared" si="48"/>
        <v>-8.8635000000000002</v>
      </c>
      <c r="BO34" s="12">
        <f t="shared" si="49"/>
        <v>-0.40949978516680757</v>
      </c>
      <c r="BP34" s="20"/>
      <c r="BQ34" s="21"/>
      <c r="BR34" s="64">
        <v>12.7812</v>
      </c>
      <c r="BS34" s="64"/>
      <c r="BT34" s="20">
        <v>20.386600000000001</v>
      </c>
      <c r="BU34" s="20"/>
      <c r="BV34" s="11">
        <f t="shared" si="25"/>
        <v>7.6054000000000013</v>
      </c>
      <c r="BW34" s="12">
        <f t="shared" si="26"/>
        <v>0.59504584859011678</v>
      </c>
      <c r="BX34" s="20"/>
      <c r="BY34" s="21"/>
    </row>
    <row r="35" spans="1:78" s="13" customFormat="1" ht="25.5" x14ac:dyDescent="0.25">
      <c r="A35" s="5" t="s">
        <v>40</v>
      </c>
      <c r="B35" s="15">
        <v>13.798999999999999</v>
      </c>
      <c r="C35" s="16"/>
      <c r="D35" s="17">
        <v>12.282</v>
      </c>
      <c r="E35" s="17"/>
      <c r="F35" s="16">
        <v>-1.5169999999999999</v>
      </c>
      <c r="G35" s="18">
        <v>-0.1099</v>
      </c>
      <c r="H35" s="19"/>
      <c r="I35" s="19"/>
      <c r="J35" s="20">
        <v>19.065000000000001</v>
      </c>
      <c r="K35" s="20"/>
      <c r="L35" s="20">
        <f t="shared" si="29"/>
        <v>6.7830000000000013</v>
      </c>
      <c r="M35" s="21">
        <f t="shared" si="30"/>
        <v>0.55227161700048866</v>
      </c>
      <c r="N35" s="20"/>
      <c r="O35" s="21"/>
      <c r="P35" s="20">
        <v>34.819000000000003</v>
      </c>
      <c r="Q35" s="20"/>
      <c r="R35" s="20">
        <f t="shared" si="31"/>
        <v>15.754000000000001</v>
      </c>
      <c r="S35" s="21">
        <f t="shared" si="32"/>
        <v>0.82633097298714919</v>
      </c>
      <c r="T35" s="20"/>
      <c r="U35" s="21"/>
      <c r="V35" s="20">
        <v>22.452000000000002</v>
      </c>
      <c r="W35" s="20"/>
      <c r="X35" s="20">
        <f t="shared" si="33"/>
        <v>-12.367000000000001</v>
      </c>
      <c r="Y35" s="21">
        <f t="shared" si="34"/>
        <v>-0.35517964329819923</v>
      </c>
      <c r="Z35" s="20"/>
      <c r="AA35" s="21"/>
      <c r="AB35" s="20">
        <v>1.5156065299999999</v>
      </c>
      <c r="AC35" s="20"/>
      <c r="AD35" s="20">
        <f t="shared" si="35"/>
        <v>-20.936393470000002</v>
      </c>
      <c r="AE35" s="21">
        <f t="shared" si="36"/>
        <v>-0.93249570060573672</v>
      </c>
      <c r="AF35" s="20"/>
      <c r="AG35" s="21"/>
      <c r="AH35" s="20">
        <v>17.8401</v>
      </c>
      <c r="AI35" s="20"/>
      <c r="AJ35" s="20">
        <f t="shared" si="37"/>
        <v>16.32449347</v>
      </c>
      <c r="AK35" s="21">
        <f t="shared" si="38"/>
        <v>10.770931074043341</v>
      </c>
      <c r="AL35" s="20">
        <f t="shared" si="39"/>
        <v>0</v>
      </c>
      <c r="AM35" s="21"/>
      <c r="AN35" s="20">
        <v>14.265806169999999</v>
      </c>
      <c r="AO35" s="20"/>
      <c r="AP35" s="20">
        <f t="shared" si="11"/>
        <v>-3.5742938300000002</v>
      </c>
      <c r="AQ35" s="21">
        <f t="shared" si="28"/>
        <v>-0.20035167011395677</v>
      </c>
      <c r="AR35" s="20">
        <f t="shared" si="40"/>
        <v>0</v>
      </c>
      <c r="AS35" s="21"/>
      <c r="AT35" s="20">
        <v>22.653241120000001</v>
      </c>
      <c r="AU35" s="20"/>
      <c r="AV35" s="11">
        <f t="shared" si="14"/>
        <v>8.3874349500000012</v>
      </c>
      <c r="AW35" s="12">
        <f t="shared" si="15"/>
        <v>0.58793978062299734</v>
      </c>
      <c r="AX35" s="20">
        <f t="shared" si="41"/>
        <v>0</v>
      </c>
      <c r="AY35" s="21"/>
      <c r="AZ35" s="20">
        <v>27.180900000000001</v>
      </c>
      <c r="BA35" s="20"/>
      <c r="BB35" s="11">
        <f t="shared" si="42"/>
        <v>4.5276588800000006</v>
      </c>
      <c r="BC35" s="12">
        <f t="shared" si="43"/>
        <v>0.19986803901551375</v>
      </c>
      <c r="BD35" s="20">
        <f t="shared" si="44"/>
        <v>0</v>
      </c>
      <c r="BE35" s="21"/>
      <c r="BF35" s="20">
        <f>0.0505278*1000</f>
        <v>50.527799999999999</v>
      </c>
      <c r="BG35" s="20">
        <v>0</v>
      </c>
      <c r="BH35" s="11">
        <f t="shared" si="45"/>
        <v>23.346899999999998</v>
      </c>
      <c r="BI35" s="12">
        <f t="shared" si="46"/>
        <v>0.85894506804410442</v>
      </c>
      <c r="BJ35" s="20">
        <f t="shared" si="47"/>
        <v>0</v>
      </c>
      <c r="BK35" s="21"/>
      <c r="BL35" s="20">
        <v>21.7</v>
      </c>
      <c r="BM35" s="20"/>
      <c r="BN35" s="11">
        <f t="shared" si="48"/>
        <v>-28.8278</v>
      </c>
      <c r="BO35" s="12">
        <f t="shared" si="49"/>
        <v>-0.57053344891327151</v>
      </c>
      <c r="BP35" s="20"/>
      <c r="BQ35" s="21"/>
      <c r="BR35" s="64">
        <v>21.7</v>
      </c>
      <c r="BS35" s="64"/>
      <c r="BT35" s="20">
        <v>31.1615</v>
      </c>
      <c r="BU35" s="20"/>
      <c r="BV35" s="11">
        <f t="shared" si="25"/>
        <v>9.4615000000000009</v>
      </c>
      <c r="BW35" s="12">
        <f t="shared" si="26"/>
        <v>0.43601382488479268</v>
      </c>
      <c r="BX35" s="20"/>
      <c r="BY35" s="21"/>
    </row>
    <row r="36" spans="1:78" s="13" customFormat="1" ht="25.5" x14ac:dyDescent="0.25">
      <c r="A36" s="5" t="s">
        <v>41</v>
      </c>
      <c r="B36" s="15">
        <v>22.111000000000001</v>
      </c>
      <c r="C36" s="16">
        <v>2.5230000000000001</v>
      </c>
      <c r="D36" s="17">
        <v>21.172999999999998</v>
      </c>
      <c r="E36" s="17"/>
      <c r="F36" s="16">
        <v>-0.93799999999999994</v>
      </c>
      <c r="G36" s="18">
        <v>-4.24E-2</v>
      </c>
      <c r="H36" s="19">
        <v>-2.5230000000000001</v>
      </c>
      <c r="I36" s="18">
        <v>-0.1192</v>
      </c>
      <c r="J36" s="20">
        <v>19.015999999999998</v>
      </c>
      <c r="K36" s="20"/>
      <c r="L36" s="20">
        <f t="shared" si="29"/>
        <v>-2.157</v>
      </c>
      <c r="M36" s="21">
        <f t="shared" si="30"/>
        <v>-0.10187502951872669</v>
      </c>
      <c r="N36" s="20"/>
      <c r="O36" s="21"/>
      <c r="P36" s="20">
        <v>42.436999999999998</v>
      </c>
      <c r="Q36" s="20">
        <v>0.58499999999999996</v>
      </c>
      <c r="R36" s="20">
        <f t="shared" si="31"/>
        <v>23.420999999999999</v>
      </c>
      <c r="S36" s="21">
        <f t="shared" si="32"/>
        <v>1.2316470340765673</v>
      </c>
      <c r="T36" s="20">
        <f>Q36-K36</f>
        <v>0.58499999999999996</v>
      </c>
      <c r="U36" s="21"/>
      <c r="V36" s="20">
        <v>94.450999999999993</v>
      </c>
      <c r="W36" s="20"/>
      <c r="X36" s="20">
        <f t="shared" si="33"/>
        <v>52.013999999999996</v>
      </c>
      <c r="Y36" s="21">
        <f t="shared" si="34"/>
        <v>1.2256757075193816</v>
      </c>
      <c r="Z36" s="20">
        <f>W36-Q36</f>
        <v>-0.58499999999999996</v>
      </c>
      <c r="AA36" s="21">
        <f>Z36/Q36</f>
        <v>-1</v>
      </c>
      <c r="AB36" s="20">
        <v>39.915814589999997</v>
      </c>
      <c r="AC36" s="20"/>
      <c r="AD36" s="20">
        <f t="shared" si="35"/>
        <v>-54.535185409999997</v>
      </c>
      <c r="AE36" s="21">
        <f t="shared" si="36"/>
        <v>-0.5773912971805486</v>
      </c>
      <c r="AF36" s="20"/>
      <c r="AG36" s="21"/>
      <c r="AH36" s="20">
        <v>127.8117</v>
      </c>
      <c r="AI36" s="20"/>
      <c r="AJ36" s="20">
        <f t="shared" si="37"/>
        <v>87.895885410000005</v>
      </c>
      <c r="AK36" s="21">
        <f t="shared" si="38"/>
        <v>2.2020316085950635</v>
      </c>
      <c r="AL36" s="20">
        <f t="shared" si="39"/>
        <v>0</v>
      </c>
      <c r="AM36" s="21"/>
      <c r="AN36" s="20">
        <v>45.921301309999997</v>
      </c>
      <c r="AO36" s="20"/>
      <c r="AP36" s="20">
        <f t="shared" si="11"/>
        <v>-81.890398690000012</v>
      </c>
      <c r="AQ36" s="21">
        <f t="shared" si="28"/>
        <v>-0.64071128613421158</v>
      </c>
      <c r="AR36" s="20">
        <f t="shared" si="40"/>
        <v>0</v>
      </c>
      <c r="AS36" s="21"/>
      <c r="AT36" s="20">
        <v>34.653936880000003</v>
      </c>
      <c r="AU36" s="20"/>
      <c r="AV36" s="11">
        <f t="shared" si="14"/>
        <v>-11.267364429999994</v>
      </c>
      <c r="AW36" s="12">
        <f t="shared" si="15"/>
        <v>-0.24536248121405849</v>
      </c>
      <c r="AX36" s="20">
        <f t="shared" si="41"/>
        <v>0</v>
      </c>
      <c r="AY36" s="21"/>
      <c r="AZ36" s="20">
        <v>25.1313</v>
      </c>
      <c r="BA36" s="20"/>
      <c r="BB36" s="11">
        <f t="shared" si="42"/>
        <v>-9.5226368800000039</v>
      </c>
      <c r="BC36" s="12">
        <f t="shared" si="43"/>
        <v>-0.27479235369346594</v>
      </c>
      <c r="BD36" s="20">
        <f t="shared" si="44"/>
        <v>0</v>
      </c>
      <c r="BE36" s="21"/>
      <c r="BF36" s="20">
        <f>0.0487721*1000</f>
        <v>48.772100000000002</v>
      </c>
      <c r="BG36" s="20">
        <v>0</v>
      </c>
      <c r="BH36" s="11">
        <f t="shared" si="45"/>
        <v>23.640800000000002</v>
      </c>
      <c r="BI36" s="12">
        <f t="shared" si="46"/>
        <v>0.94069148830343052</v>
      </c>
      <c r="BJ36" s="20">
        <f t="shared" si="47"/>
        <v>0</v>
      </c>
      <c r="BK36" s="21"/>
      <c r="BL36" s="20">
        <v>44.082299999999996</v>
      </c>
      <c r="BM36" s="20"/>
      <c r="BN36" s="11">
        <f t="shared" si="48"/>
        <v>-4.6898000000000053</v>
      </c>
      <c r="BO36" s="12">
        <f t="shared" si="49"/>
        <v>-9.6157434270822975E-2</v>
      </c>
      <c r="BP36" s="20"/>
      <c r="BQ36" s="21"/>
      <c r="BR36" s="64">
        <v>44.082299999999996</v>
      </c>
      <c r="BS36" s="64"/>
      <c r="BT36" s="20">
        <v>83.367800000000003</v>
      </c>
      <c r="BU36" s="20">
        <v>57.841299999999997</v>
      </c>
      <c r="BV36" s="11">
        <f t="shared" si="25"/>
        <v>39.285500000000006</v>
      </c>
      <c r="BW36" s="12">
        <f t="shared" si="26"/>
        <v>0.89118535103658403</v>
      </c>
      <c r="BX36" s="20">
        <f t="shared" ref="BX36" si="52">BU36-BS36</f>
        <v>57.841299999999997</v>
      </c>
      <c r="BY36" s="21"/>
      <c r="BZ36" s="35"/>
    </row>
    <row r="37" spans="1:78" s="13" customFormat="1" ht="38.25" x14ac:dyDescent="0.25">
      <c r="A37" s="5" t="s">
        <v>43</v>
      </c>
      <c r="B37" s="15">
        <v>189.91399999999999</v>
      </c>
      <c r="C37" s="16"/>
      <c r="D37" s="17">
        <v>114.042</v>
      </c>
      <c r="E37" s="17"/>
      <c r="F37" s="16">
        <v>-75.872</v>
      </c>
      <c r="G37" s="18">
        <v>-0.39950000000000002</v>
      </c>
      <c r="H37" s="19"/>
      <c r="I37" s="19"/>
      <c r="J37" s="20">
        <v>105.13800000000001</v>
      </c>
      <c r="K37" s="20"/>
      <c r="L37" s="20">
        <f t="shared" si="29"/>
        <v>-8.9039999999999964</v>
      </c>
      <c r="M37" s="21">
        <f t="shared" si="30"/>
        <v>-7.8076498132267025E-2</v>
      </c>
      <c r="N37" s="20"/>
      <c r="O37" s="21"/>
      <c r="P37" s="20">
        <v>259.678</v>
      </c>
      <c r="Q37" s="20"/>
      <c r="R37" s="20">
        <f t="shared" si="31"/>
        <v>154.54</v>
      </c>
      <c r="S37" s="21">
        <f t="shared" si="32"/>
        <v>1.4698776845669499</v>
      </c>
      <c r="T37" s="20"/>
      <c r="U37" s="21"/>
      <c r="V37" s="20">
        <v>229.78399999999999</v>
      </c>
      <c r="W37" s="20"/>
      <c r="X37" s="20">
        <f t="shared" si="33"/>
        <v>-29.894000000000005</v>
      </c>
      <c r="Y37" s="21">
        <f t="shared" si="34"/>
        <v>-0.11511949414274604</v>
      </c>
      <c r="Z37" s="20"/>
      <c r="AA37" s="21"/>
      <c r="AB37" s="20">
        <v>270.92531029000003</v>
      </c>
      <c r="AC37" s="20"/>
      <c r="AD37" s="20">
        <f t="shared" si="35"/>
        <v>41.141310290000035</v>
      </c>
      <c r="AE37" s="21">
        <f t="shared" si="36"/>
        <v>0.17904340724332432</v>
      </c>
      <c r="AF37" s="20"/>
      <c r="AG37" s="21"/>
      <c r="AH37" s="20">
        <v>172.17429999999999</v>
      </c>
      <c r="AI37" s="20"/>
      <c r="AJ37" s="20">
        <f t="shared" si="37"/>
        <v>-98.751010290000039</v>
      </c>
      <c r="AK37" s="21">
        <f t="shared" si="38"/>
        <v>-0.36449532966962883</v>
      </c>
      <c r="AL37" s="20">
        <f t="shared" si="39"/>
        <v>0</v>
      </c>
      <c r="AM37" s="21"/>
      <c r="AN37" s="20">
        <v>197.85231544999999</v>
      </c>
      <c r="AO37" s="20"/>
      <c r="AP37" s="20">
        <f t="shared" si="11"/>
        <v>25.678015450000004</v>
      </c>
      <c r="AQ37" s="21">
        <f t="shared" si="28"/>
        <v>0.14913965353714234</v>
      </c>
      <c r="AR37" s="20">
        <f t="shared" si="40"/>
        <v>0</v>
      </c>
      <c r="AS37" s="21"/>
      <c r="AT37" s="20">
        <v>241.17850512999999</v>
      </c>
      <c r="AU37" s="20"/>
      <c r="AV37" s="11">
        <f t="shared" si="14"/>
        <v>43.326189679999999</v>
      </c>
      <c r="AW37" s="12">
        <f t="shared" si="15"/>
        <v>0.21898247478912686</v>
      </c>
      <c r="AX37" s="20">
        <f t="shared" si="41"/>
        <v>0</v>
      </c>
      <c r="AY37" s="21"/>
      <c r="AZ37" s="20">
        <v>219.11429999999999</v>
      </c>
      <c r="BA37" s="20"/>
      <c r="BB37" s="11">
        <f t="shared" si="42"/>
        <v>-22.064205130000005</v>
      </c>
      <c r="BC37" s="12">
        <f t="shared" si="43"/>
        <v>-9.148495682941131E-2</v>
      </c>
      <c r="BD37" s="20">
        <f t="shared" si="44"/>
        <v>0</v>
      </c>
      <c r="BE37" s="21"/>
      <c r="BF37" s="20">
        <f>0.1245487*1000</f>
        <v>124.5487</v>
      </c>
      <c r="BG37" s="20">
        <v>0</v>
      </c>
      <c r="BH37" s="11">
        <f t="shared" si="45"/>
        <v>-94.565599999999989</v>
      </c>
      <c r="BI37" s="12">
        <f t="shared" si="46"/>
        <v>-0.43158114280993981</v>
      </c>
      <c r="BJ37" s="20">
        <f t="shared" si="47"/>
        <v>0</v>
      </c>
      <c r="BK37" s="21"/>
      <c r="BL37" s="20">
        <v>100.1249</v>
      </c>
      <c r="BM37" s="20"/>
      <c r="BN37" s="11">
        <f t="shared" si="48"/>
        <v>-24.4238</v>
      </c>
      <c r="BO37" s="12">
        <f t="shared" si="49"/>
        <v>-0.1960983936403993</v>
      </c>
      <c r="BP37" s="20"/>
      <c r="BQ37" s="21"/>
      <c r="BR37" s="64">
        <v>100.0324</v>
      </c>
      <c r="BS37" s="64"/>
      <c r="BT37" s="20">
        <v>185.34129999999999</v>
      </c>
      <c r="BU37" s="20"/>
      <c r="BV37" s="11">
        <f t="shared" si="25"/>
        <v>85.308899999999994</v>
      </c>
      <c r="BW37" s="12">
        <f t="shared" si="26"/>
        <v>0.85281268868886484</v>
      </c>
      <c r="BX37" s="20"/>
      <c r="BY37" s="21"/>
    </row>
    <row r="38" spans="1:78" s="13" customFormat="1" ht="25.5" x14ac:dyDescent="0.25">
      <c r="A38" s="5" t="s">
        <v>68</v>
      </c>
      <c r="B38" s="15"/>
      <c r="C38" s="16"/>
      <c r="D38" s="17"/>
      <c r="E38" s="17"/>
      <c r="F38" s="16"/>
      <c r="G38" s="18"/>
      <c r="H38" s="19"/>
      <c r="I38" s="19"/>
      <c r="J38" s="20"/>
      <c r="K38" s="20"/>
      <c r="L38" s="20"/>
      <c r="M38" s="21"/>
      <c r="N38" s="20"/>
      <c r="O38" s="21"/>
      <c r="P38" s="20"/>
      <c r="Q38" s="20"/>
      <c r="R38" s="20"/>
      <c r="S38" s="21"/>
      <c r="T38" s="20"/>
      <c r="U38" s="21"/>
      <c r="V38" s="20"/>
      <c r="W38" s="20"/>
      <c r="X38" s="20"/>
      <c r="Y38" s="21"/>
      <c r="Z38" s="20"/>
      <c r="AA38" s="21"/>
      <c r="AB38" s="20">
        <v>0.29277839</v>
      </c>
      <c r="AC38" s="20"/>
      <c r="AD38" s="20"/>
      <c r="AE38" s="21"/>
      <c r="AF38" s="20"/>
      <c r="AG38" s="21"/>
      <c r="AH38" s="20">
        <v>0.29520000000000002</v>
      </c>
      <c r="AI38" s="20"/>
      <c r="AJ38" s="20">
        <f t="shared" si="37"/>
        <v>2.4216100000000185E-3</v>
      </c>
      <c r="AK38" s="21">
        <f t="shared" si="38"/>
        <v>8.2711364045687207E-3</v>
      </c>
      <c r="AL38" s="20">
        <f t="shared" si="39"/>
        <v>0</v>
      </c>
      <c r="AM38" s="21"/>
      <c r="AN38" s="20"/>
      <c r="AO38" s="20"/>
      <c r="AP38" s="20">
        <f t="shared" si="11"/>
        <v>-0.29520000000000002</v>
      </c>
      <c r="AQ38" s="21">
        <f t="shared" si="28"/>
        <v>-1</v>
      </c>
      <c r="AR38" s="20">
        <f t="shared" si="40"/>
        <v>0</v>
      </c>
      <c r="AS38" s="21"/>
      <c r="AT38" s="20"/>
      <c r="AU38" s="20"/>
      <c r="AV38" s="11"/>
      <c r="AW38" s="12"/>
      <c r="AX38" s="20"/>
      <c r="AY38" s="21"/>
      <c r="AZ38" s="20"/>
      <c r="BA38" s="20"/>
      <c r="BB38" s="11"/>
      <c r="BC38" s="12"/>
      <c r="BD38" s="20"/>
      <c r="BE38" s="21"/>
      <c r="BF38" s="20"/>
      <c r="BG38" s="20"/>
      <c r="BH38" s="11"/>
      <c r="BI38" s="12"/>
      <c r="BJ38" s="20"/>
      <c r="BK38" s="21"/>
      <c r="BL38" s="20"/>
      <c r="BM38" s="20"/>
      <c r="BN38" s="11"/>
      <c r="BO38" s="12"/>
      <c r="BP38" s="20"/>
      <c r="BQ38" s="21"/>
      <c r="BR38" s="64"/>
      <c r="BS38" s="64"/>
      <c r="BT38" s="20"/>
      <c r="BU38" s="20"/>
      <c r="BV38" s="11"/>
      <c r="BW38" s="12"/>
      <c r="BX38" s="20"/>
      <c r="BY38" s="21"/>
    </row>
    <row r="39" spans="1:78" s="13" customFormat="1" ht="25.5" x14ac:dyDescent="0.25">
      <c r="A39" s="5" t="s">
        <v>44</v>
      </c>
      <c r="B39" s="15">
        <v>29.702000000000002</v>
      </c>
      <c r="C39" s="16">
        <v>13.446999999999999</v>
      </c>
      <c r="D39" s="17">
        <v>13.941000000000001</v>
      </c>
      <c r="E39" s="17">
        <v>7.17</v>
      </c>
      <c r="F39" s="16">
        <v>-15.760999999999999</v>
      </c>
      <c r="G39" s="18">
        <v>-0.53059999999999996</v>
      </c>
      <c r="H39" s="19">
        <v>-6.2770000000000001</v>
      </c>
      <c r="I39" s="18">
        <v>-0.45029999999999998</v>
      </c>
      <c r="J39" s="20">
        <v>7.9409999999999998</v>
      </c>
      <c r="K39" s="20"/>
      <c r="L39" s="20">
        <f t="shared" ref="L39:L53" si="53">J39-D39</f>
        <v>-6.0000000000000009</v>
      </c>
      <c r="M39" s="21">
        <f t="shared" ref="M39:M53" si="54">L39/D39</f>
        <v>-0.43038519474930065</v>
      </c>
      <c r="N39" s="20">
        <f>K39-E39</f>
        <v>-7.17</v>
      </c>
      <c r="O39" s="21">
        <f>N39/E39</f>
        <v>-1</v>
      </c>
      <c r="P39" s="20">
        <v>32.124000000000002</v>
      </c>
      <c r="Q39" s="20">
        <v>8.0530000000000008</v>
      </c>
      <c r="R39" s="20">
        <f t="shared" ref="R39:R51" si="55">P39-J39</f>
        <v>24.183000000000003</v>
      </c>
      <c r="S39" s="21">
        <f t="shared" ref="S39:S51" si="56">R39/J39</f>
        <v>3.0453343407631284</v>
      </c>
      <c r="T39" s="20">
        <f>Q39-K39</f>
        <v>8.0530000000000008</v>
      </c>
      <c r="U39" s="21"/>
      <c r="V39" s="20">
        <v>22.305</v>
      </c>
      <c r="W39" s="20"/>
      <c r="X39" s="20">
        <f t="shared" ref="X39:X51" si="57">V39-P39</f>
        <v>-9.8190000000000026</v>
      </c>
      <c r="Y39" s="21">
        <f t="shared" ref="Y39:Y51" si="58">X39/P39</f>
        <v>-0.30565932013447894</v>
      </c>
      <c r="Z39" s="20">
        <f>W39-Q39</f>
        <v>-8.0530000000000008</v>
      </c>
      <c r="AA39" s="21">
        <f>Z39/Q39</f>
        <v>-1</v>
      </c>
      <c r="AB39" s="20">
        <v>16.77997259</v>
      </c>
      <c r="AC39" s="20"/>
      <c r="AD39" s="20">
        <f t="shared" ref="AD39:AD51" si="59">AB39-V39</f>
        <v>-5.5250274099999999</v>
      </c>
      <c r="AE39" s="21">
        <f t="shared" ref="AE39:AE51" si="60">AD39/V39</f>
        <v>-0.24770353777180004</v>
      </c>
      <c r="AF39" s="20"/>
      <c r="AG39" s="21"/>
      <c r="AH39" s="20">
        <v>34.544699999999999</v>
      </c>
      <c r="AI39" s="20">
        <v>15.0967</v>
      </c>
      <c r="AJ39" s="20">
        <f t="shared" si="37"/>
        <v>17.764727409999999</v>
      </c>
      <c r="AK39" s="21">
        <f t="shared" si="38"/>
        <v>1.0586863187480331</v>
      </c>
      <c r="AL39" s="20">
        <f t="shared" si="39"/>
        <v>15.0967</v>
      </c>
      <c r="AM39" s="21"/>
      <c r="AN39" s="20">
        <v>38.178566029999999</v>
      </c>
      <c r="AO39" s="20">
        <v>22.00371204</v>
      </c>
      <c r="AP39" s="20">
        <f t="shared" si="11"/>
        <v>3.6338660300000001</v>
      </c>
      <c r="AQ39" s="21">
        <f t="shared" si="28"/>
        <v>0.10519315640315302</v>
      </c>
      <c r="AR39" s="20">
        <f t="shared" si="40"/>
        <v>6.9070120399999997</v>
      </c>
      <c r="AS39" s="21">
        <f>AR39/AI39</f>
        <v>0.45751800327223829</v>
      </c>
      <c r="AT39" s="20">
        <v>21.78052031</v>
      </c>
      <c r="AU39" s="20"/>
      <c r="AV39" s="11">
        <f t="shared" ref="AV39:AV51" si="61">AT39-AN39</f>
        <v>-16.398045719999999</v>
      </c>
      <c r="AW39" s="12">
        <f t="shared" ref="AW39:AW51" si="62">AV39/AN39</f>
        <v>-0.42950920962077838</v>
      </c>
      <c r="AX39" s="20">
        <f t="shared" ref="AX39:AX51" si="63">AU39-AO39</f>
        <v>-22.00371204</v>
      </c>
      <c r="AY39" s="21">
        <f>AX39/AO39</f>
        <v>-1</v>
      </c>
      <c r="AZ39" s="20">
        <v>37.412199999999999</v>
      </c>
      <c r="BA39" s="20">
        <v>17.586400000000001</v>
      </c>
      <c r="BB39" s="11">
        <f t="shared" ref="BB39:BB51" si="64">AZ39-AT39</f>
        <v>15.631679689999999</v>
      </c>
      <c r="BC39" s="12">
        <f t="shared" ref="BC39:BC51" si="65">BB39/AT39</f>
        <v>0.7176908295814719</v>
      </c>
      <c r="BD39" s="20">
        <f t="shared" ref="BD39:BD51" si="66">BA39-AU39</f>
        <v>17.586400000000001</v>
      </c>
      <c r="BE39" s="21"/>
      <c r="BF39" s="20">
        <f>0.0507361*1000</f>
        <v>50.7361</v>
      </c>
      <c r="BG39" s="20">
        <f>0.0307199*1000</f>
        <v>30.719900000000003</v>
      </c>
      <c r="BH39" s="11">
        <f t="shared" ref="BH39:BH51" si="67">BF39-AZ39</f>
        <v>13.323900000000002</v>
      </c>
      <c r="BI39" s="12">
        <f t="shared" ref="BI39:BI51" si="68">BH39/AZ39</f>
        <v>0.35613783738994237</v>
      </c>
      <c r="BJ39" s="20">
        <f t="shared" ref="BJ39:BJ51" si="69">BG39-BA39</f>
        <v>13.133500000000002</v>
      </c>
      <c r="BK39" s="21">
        <f t="shared" si="50"/>
        <v>0.74679866260292049</v>
      </c>
      <c r="BL39" s="20">
        <v>18.806999999999999</v>
      </c>
      <c r="BM39" s="20"/>
      <c r="BN39" s="11">
        <f t="shared" ref="BN39:BN51" si="70">BL39-BF39</f>
        <v>-31.929100000000002</v>
      </c>
      <c r="BO39" s="12">
        <f t="shared" ref="BO39:BO51" si="71">BN39/BF39</f>
        <v>-0.62931719229503258</v>
      </c>
      <c r="BP39" s="20">
        <f>BM39-BG39</f>
        <v>-30.719900000000003</v>
      </c>
      <c r="BQ39" s="21">
        <f>BP39/BG39</f>
        <v>-1</v>
      </c>
      <c r="BR39" s="64">
        <v>18.806999999999999</v>
      </c>
      <c r="BS39" s="64"/>
      <c r="BT39" s="20">
        <v>22.875299999999999</v>
      </c>
      <c r="BU39" s="20"/>
      <c r="BV39" s="11">
        <f t="shared" si="25"/>
        <v>4.0683000000000007</v>
      </c>
      <c r="BW39" s="12">
        <f t="shared" si="26"/>
        <v>0.21631839208805237</v>
      </c>
      <c r="BX39" s="20"/>
      <c r="BY39" s="21"/>
    </row>
    <row r="40" spans="1:78" s="13" customFormat="1" ht="25.5" x14ac:dyDescent="0.25">
      <c r="A40" s="5" t="s">
        <v>45</v>
      </c>
      <c r="B40" s="15">
        <v>10.19</v>
      </c>
      <c r="C40" s="16">
        <v>3.1840000000000002</v>
      </c>
      <c r="D40" s="17">
        <v>10.097</v>
      </c>
      <c r="E40" s="17">
        <v>2.62</v>
      </c>
      <c r="F40" s="16">
        <v>-9.2999999999999999E-2</v>
      </c>
      <c r="G40" s="18">
        <v>-9.1000000000000004E-3</v>
      </c>
      <c r="H40" s="19">
        <v>-0.56399999999999995</v>
      </c>
      <c r="I40" s="18">
        <v>-5.5899999999999998E-2</v>
      </c>
      <c r="J40" s="20">
        <v>10.452</v>
      </c>
      <c r="K40" s="20">
        <v>4.18</v>
      </c>
      <c r="L40" s="20">
        <f t="shared" si="53"/>
        <v>0.35500000000000043</v>
      </c>
      <c r="M40" s="21">
        <f t="shared" si="54"/>
        <v>3.5158958106368272E-2</v>
      </c>
      <c r="N40" s="20">
        <f>K40-E40</f>
        <v>1.5599999999999996</v>
      </c>
      <c r="O40" s="21">
        <f>N40/E40</f>
        <v>0.59541984732824416</v>
      </c>
      <c r="P40" s="20">
        <v>11.926</v>
      </c>
      <c r="Q40" s="20">
        <v>5.6459999999999999</v>
      </c>
      <c r="R40" s="20">
        <f t="shared" si="55"/>
        <v>1.4740000000000002</v>
      </c>
      <c r="S40" s="21">
        <f t="shared" si="56"/>
        <v>0.14102564102564105</v>
      </c>
      <c r="T40" s="20">
        <f>Q40-K40</f>
        <v>1.4660000000000002</v>
      </c>
      <c r="U40" s="21">
        <f>T40/K40</f>
        <v>0.35071770334928237</v>
      </c>
      <c r="V40" s="20">
        <v>6.8760000000000003</v>
      </c>
      <c r="W40" s="20"/>
      <c r="X40" s="20">
        <f t="shared" si="57"/>
        <v>-5.05</v>
      </c>
      <c r="Y40" s="21">
        <f t="shared" si="58"/>
        <v>-0.42344457487841686</v>
      </c>
      <c r="Z40" s="20">
        <f>W40-Q40</f>
        <v>-5.6459999999999999</v>
      </c>
      <c r="AA40" s="21">
        <f>Z40/Q40</f>
        <v>-1</v>
      </c>
      <c r="AB40" s="20">
        <v>2.13285115</v>
      </c>
      <c r="AC40" s="20"/>
      <c r="AD40" s="20">
        <f t="shared" si="59"/>
        <v>-4.7431488500000007</v>
      </c>
      <c r="AE40" s="21">
        <f t="shared" si="60"/>
        <v>-0.68981222367655626</v>
      </c>
      <c r="AF40" s="20"/>
      <c r="AG40" s="21"/>
      <c r="AH40" s="20">
        <v>6.0689000000000002</v>
      </c>
      <c r="AI40" s="20"/>
      <c r="AJ40" s="20">
        <f t="shared" si="37"/>
        <v>3.9360488500000002</v>
      </c>
      <c r="AK40" s="21">
        <f t="shared" si="38"/>
        <v>1.8454400111325162</v>
      </c>
      <c r="AL40" s="20">
        <f t="shared" si="39"/>
        <v>0</v>
      </c>
      <c r="AM40" s="21"/>
      <c r="AN40" s="20">
        <v>8.1214805800000001</v>
      </c>
      <c r="AO40" s="20">
        <v>0.73600566000000001</v>
      </c>
      <c r="AP40" s="20">
        <f t="shared" si="11"/>
        <v>2.0525805799999999</v>
      </c>
      <c r="AQ40" s="21">
        <f t="shared" si="28"/>
        <v>0.33821295127617851</v>
      </c>
      <c r="AR40" s="20">
        <f t="shared" si="40"/>
        <v>0.73600566000000001</v>
      </c>
      <c r="AS40" s="21"/>
      <c r="AT40" s="20">
        <v>1.63089364</v>
      </c>
      <c r="AU40" s="20"/>
      <c r="AV40" s="11">
        <f t="shared" si="61"/>
        <v>-6.49058694</v>
      </c>
      <c r="AW40" s="12">
        <f t="shared" si="62"/>
        <v>-0.79918764516703433</v>
      </c>
      <c r="AX40" s="20">
        <f t="shared" si="63"/>
        <v>-0.73600566000000001</v>
      </c>
      <c r="AY40" s="21">
        <f>AX40/AO40</f>
        <v>-1</v>
      </c>
      <c r="AZ40" s="20">
        <v>14.0212</v>
      </c>
      <c r="BA40" s="20">
        <v>7.0242000000000004</v>
      </c>
      <c r="BB40" s="11">
        <f t="shared" si="64"/>
        <v>12.39030636</v>
      </c>
      <c r="BC40" s="12">
        <f t="shared" si="65"/>
        <v>7.5972497875459251</v>
      </c>
      <c r="BD40" s="20">
        <f t="shared" si="66"/>
        <v>7.0242000000000004</v>
      </c>
      <c r="BE40" s="21"/>
      <c r="BF40" s="20">
        <f>0.0110285*1000</f>
        <v>11.028499999999999</v>
      </c>
      <c r="BG40" s="20">
        <f>0.0033523*1000</f>
        <v>3.3523000000000001</v>
      </c>
      <c r="BH40" s="11">
        <f t="shared" si="67"/>
        <v>-2.992700000000001</v>
      </c>
      <c r="BI40" s="12">
        <f t="shared" si="68"/>
        <v>-0.21344107494365683</v>
      </c>
      <c r="BJ40" s="20">
        <f t="shared" si="69"/>
        <v>-3.6719000000000004</v>
      </c>
      <c r="BK40" s="21">
        <f t="shared" si="50"/>
        <v>-0.52274992169926826</v>
      </c>
      <c r="BL40" s="20">
        <v>10.9086</v>
      </c>
      <c r="BM40" s="20"/>
      <c r="BN40" s="11">
        <f t="shared" si="70"/>
        <v>-0.11989999999999945</v>
      </c>
      <c r="BO40" s="12">
        <f t="shared" si="71"/>
        <v>-1.087183207145119E-2</v>
      </c>
      <c r="BP40" s="20">
        <f>BM40-BG40</f>
        <v>-3.3523000000000001</v>
      </c>
      <c r="BQ40" s="21">
        <f>BP40/BG40</f>
        <v>-1</v>
      </c>
      <c r="BR40" s="64">
        <v>10.9086</v>
      </c>
      <c r="BS40" s="64"/>
      <c r="BT40" s="20">
        <v>9.9787999999999997</v>
      </c>
      <c r="BU40" s="20">
        <v>3.9476</v>
      </c>
      <c r="BV40" s="11">
        <f t="shared" si="25"/>
        <v>-0.92980000000000018</v>
      </c>
      <c r="BW40" s="12">
        <f t="shared" si="26"/>
        <v>-8.523550226426857E-2</v>
      </c>
      <c r="BX40" s="20">
        <f t="shared" ref="BX40:BX41" si="72">BU40-BS40</f>
        <v>3.9476</v>
      </c>
      <c r="BY40" s="21"/>
      <c r="BZ40" s="35"/>
    </row>
    <row r="41" spans="1:78" s="13" customFormat="1" ht="25.5" x14ac:dyDescent="0.25">
      <c r="A41" s="5" t="s">
        <v>46</v>
      </c>
      <c r="B41" s="15">
        <v>17.43</v>
      </c>
      <c r="C41" s="16">
        <v>10.784000000000001</v>
      </c>
      <c r="D41" s="17">
        <v>15.885</v>
      </c>
      <c r="E41" s="17">
        <v>9.7029999999999994</v>
      </c>
      <c r="F41" s="16">
        <v>-1.5449999999999999</v>
      </c>
      <c r="G41" s="18">
        <v>-8.8599999999999998E-2</v>
      </c>
      <c r="H41" s="19">
        <v>-1.081</v>
      </c>
      <c r="I41" s="18">
        <v>-6.8099999999999994E-2</v>
      </c>
      <c r="J41" s="20">
        <v>12.736000000000001</v>
      </c>
      <c r="K41" s="20"/>
      <c r="L41" s="20">
        <f t="shared" si="53"/>
        <v>-3.1489999999999991</v>
      </c>
      <c r="M41" s="21">
        <f t="shared" si="54"/>
        <v>-0.19823733081523445</v>
      </c>
      <c r="N41" s="20">
        <f>K41-E41</f>
        <v>-9.7029999999999994</v>
      </c>
      <c r="O41" s="21">
        <f>N41/E41</f>
        <v>-1</v>
      </c>
      <c r="P41" s="20">
        <v>28.876999999999999</v>
      </c>
      <c r="Q41" s="20">
        <v>10.013999999999999</v>
      </c>
      <c r="R41" s="20">
        <f t="shared" si="55"/>
        <v>16.140999999999998</v>
      </c>
      <c r="S41" s="21">
        <f t="shared" si="56"/>
        <v>1.2673523869346732</v>
      </c>
      <c r="T41" s="20">
        <f>Q41-K41</f>
        <v>10.013999999999999</v>
      </c>
      <c r="U41" s="21"/>
      <c r="V41" s="20">
        <v>33.347000000000001</v>
      </c>
      <c r="W41" s="20"/>
      <c r="X41" s="20">
        <f t="shared" si="57"/>
        <v>4.4700000000000024</v>
      </c>
      <c r="Y41" s="21">
        <f t="shared" si="58"/>
        <v>0.1547944731100877</v>
      </c>
      <c r="Z41" s="20">
        <f>W41-Q41</f>
        <v>-10.013999999999999</v>
      </c>
      <c r="AA41" s="21">
        <f>Z41/Q41</f>
        <v>-1</v>
      </c>
      <c r="AB41" s="20">
        <v>26.18414009</v>
      </c>
      <c r="AC41" s="20"/>
      <c r="AD41" s="20">
        <f t="shared" si="59"/>
        <v>-7.1628599100000017</v>
      </c>
      <c r="AE41" s="21">
        <f t="shared" si="60"/>
        <v>-0.2147977302306055</v>
      </c>
      <c r="AF41" s="20"/>
      <c r="AG41" s="21"/>
      <c r="AH41" s="20">
        <v>29.0381</v>
      </c>
      <c r="AI41" s="20"/>
      <c r="AJ41" s="20">
        <f t="shared" si="37"/>
        <v>2.8539599100000004</v>
      </c>
      <c r="AK41" s="21">
        <f t="shared" si="38"/>
        <v>0.10899574705109212</v>
      </c>
      <c r="AL41" s="20">
        <f t="shared" si="39"/>
        <v>0</v>
      </c>
      <c r="AM41" s="21"/>
      <c r="AN41" s="20">
        <v>24.691461350000001</v>
      </c>
      <c r="AO41" s="20"/>
      <c r="AP41" s="20">
        <f t="shared" si="11"/>
        <v>-4.3466386499999992</v>
      </c>
      <c r="AQ41" s="21">
        <f t="shared" si="28"/>
        <v>-0.14968743306208049</v>
      </c>
      <c r="AR41" s="20">
        <f t="shared" si="40"/>
        <v>0</v>
      </c>
      <c r="AS41" s="21"/>
      <c r="AT41" s="20">
        <v>27.099458500000001</v>
      </c>
      <c r="AU41" s="20"/>
      <c r="AV41" s="11">
        <f t="shared" si="61"/>
        <v>2.4079971499999999</v>
      </c>
      <c r="AW41" s="12">
        <f t="shared" si="62"/>
        <v>9.7523476470946086E-2</v>
      </c>
      <c r="AX41" s="20">
        <f t="shared" si="63"/>
        <v>0</v>
      </c>
      <c r="AY41" s="21"/>
      <c r="AZ41" s="20">
        <v>18.533100000000001</v>
      </c>
      <c r="BA41" s="20">
        <v>10.5489</v>
      </c>
      <c r="BB41" s="11">
        <f t="shared" si="64"/>
        <v>-8.5663584999999998</v>
      </c>
      <c r="BC41" s="12">
        <f t="shared" si="65"/>
        <v>-0.31610810599776373</v>
      </c>
      <c r="BD41" s="20">
        <f t="shared" si="66"/>
        <v>10.5489</v>
      </c>
      <c r="BE41" s="21"/>
      <c r="BF41" s="20">
        <f>0.0238637*1000</f>
        <v>23.863700000000001</v>
      </c>
      <c r="BG41" s="20">
        <f>0.0187618*1000</f>
        <v>18.761799999999997</v>
      </c>
      <c r="BH41" s="11">
        <f t="shared" si="67"/>
        <v>5.3306000000000004</v>
      </c>
      <c r="BI41" s="12">
        <f t="shared" si="68"/>
        <v>0.28762592334795584</v>
      </c>
      <c r="BJ41" s="20">
        <f t="shared" si="69"/>
        <v>8.2128999999999976</v>
      </c>
      <c r="BK41" s="21">
        <f t="shared" si="50"/>
        <v>0.77855511001147015</v>
      </c>
      <c r="BL41" s="20">
        <v>10.485900000000001</v>
      </c>
      <c r="BM41" s="20"/>
      <c r="BN41" s="11">
        <f t="shared" si="70"/>
        <v>-13.377800000000001</v>
      </c>
      <c r="BO41" s="12">
        <f t="shared" si="71"/>
        <v>-0.56059202889744675</v>
      </c>
      <c r="BP41" s="20">
        <f>BM41-BG41</f>
        <v>-18.761799999999997</v>
      </c>
      <c r="BQ41" s="21">
        <f>BP41/BG41</f>
        <v>-1</v>
      </c>
      <c r="BR41" s="64">
        <v>10.485900000000001</v>
      </c>
      <c r="BS41" s="64"/>
      <c r="BT41" s="20">
        <v>44.990400000000001</v>
      </c>
      <c r="BU41" s="20">
        <v>7.5541999999999998</v>
      </c>
      <c r="BV41" s="11">
        <f t="shared" si="25"/>
        <v>34.5045</v>
      </c>
      <c r="BW41" s="12">
        <f t="shared" si="26"/>
        <v>3.2905616113066114</v>
      </c>
      <c r="BX41" s="20">
        <f t="shared" si="72"/>
        <v>7.5541999999999998</v>
      </c>
      <c r="BY41" s="21"/>
      <c r="BZ41" s="35"/>
    </row>
    <row r="42" spans="1:78" s="13" customFormat="1" ht="25.5" x14ac:dyDescent="0.25">
      <c r="A42" s="5" t="s">
        <v>47</v>
      </c>
      <c r="B42" s="15">
        <v>45.628</v>
      </c>
      <c r="C42" s="16"/>
      <c r="D42" s="17">
        <v>59.904000000000003</v>
      </c>
      <c r="E42" s="17"/>
      <c r="F42" s="16">
        <v>14.276</v>
      </c>
      <c r="G42" s="18">
        <v>0.31290000000000001</v>
      </c>
      <c r="H42" s="19"/>
      <c r="I42" s="19"/>
      <c r="J42" s="20">
        <v>26.817</v>
      </c>
      <c r="K42" s="20"/>
      <c r="L42" s="20">
        <f t="shared" si="53"/>
        <v>-33.087000000000003</v>
      </c>
      <c r="M42" s="21">
        <f t="shared" si="54"/>
        <v>-0.55233373397435903</v>
      </c>
      <c r="N42" s="20"/>
      <c r="O42" s="21"/>
      <c r="P42" s="20">
        <v>57.548999999999999</v>
      </c>
      <c r="Q42" s="20"/>
      <c r="R42" s="20">
        <f t="shared" si="55"/>
        <v>30.731999999999999</v>
      </c>
      <c r="S42" s="21">
        <f t="shared" si="56"/>
        <v>1.1459894842823581</v>
      </c>
      <c r="T42" s="20"/>
      <c r="U42" s="21"/>
      <c r="V42" s="20">
        <v>56.036999999999999</v>
      </c>
      <c r="W42" s="20"/>
      <c r="X42" s="20">
        <f t="shared" si="57"/>
        <v>-1.5120000000000005</v>
      </c>
      <c r="Y42" s="21">
        <f t="shared" si="58"/>
        <v>-2.6273262784757345E-2</v>
      </c>
      <c r="Z42" s="20"/>
      <c r="AA42" s="21"/>
      <c r="AB42" s="20">
        <v>70.822000239999994</v>
      </c>
      <c r="AC42" s="20"/>
      <c r="AD42" s="20">
        <f t="shared" si="59"/>
        <v>14.785000239999995</v>
      </c>
      <c r="AE42" s="21">
        <f t="shared" si="60"/>
        <v>0.26384353623498752</v>
      </c>
      <c r="AF42" s="20"/>
      <c r="AG42" s="21"/>
      <c r="AH42" s="20">
        <v>76.665499999999994</v>
      </c>
      <c r="AI42" s="20">
        <v>4.7412000000000001</v>
      </c>
      <c r="AJ42" s="20">
        <f t="shared" si="37"/>
        <v>5.8434997600000003</v>
      </c>
      <c r="AK42" s="21">
        <f t="shared" si="38"/>
        <v>8.2509668467392619E-2</v>
      </c>
      <c r="AL42" s="20">
        <f t="shared" si="39"/>
        <v>4.7412000000000001</v>
      </c>
      <c r="AM42" s="21"/>
      <c r="AN42" s="20">
        <v>61.62505677</v>
      </c>
      <c r="AO42" s="20">
        <v>8.8024980599999996</v>
      </c>
      <c r="AP42" s="20">
        <f t="shared" si="11"/>
        <v>-15.040443229999994</v>
      </c>
      <c r="AQ42" s="21">
        <f t="shared" si="28"/>
        <v>-0.19618267969295178</v>
      </c>
      <c r="AR42" s="20">
        <f t="shared" si="40"/>
        <v>4.0612980599999995</v>
      </c>
      <c r="AS42" s="21">
        <f>AR42/AI42</f>
        <v>0.85659707668944562</v>
      </c>
      <c r="AT42" s="20">
        <v>42.480423709999997</v>
      </c>
      <c r="AU42" s="20"/>
      <c r="AV42" s="11">
        <f t="shared" si="61"/>
        <v>-19.144633060000004</v>
      </c>
      <c r="AW42" s="12">
        <f t="shared" si="62"/>
        <v>-0.31066313060696277</v>
      </c>
      <c r="AX42" s="20">
        <f t="shared" si="63"/>
        <v>-8.8024980599999996</v>
      </c>
      <c r="AY42" s="21">
        <f>AX42/AO42</f>
        <v>-1</v>
      </c>
      <c r="AZ42" s="20">
        <v>93.4529</v>
      </c>
      <c r="BA42" s="20"/>
      <c r="BB42" s="11">
        <f t="shared" si="64"/>
        <v>50.972476290000003</v>
      </c>
      <c r="BC42" s="12">
        <f t="shared" si="65"/>
        <v>1.1999050818789492</v>
      </c>
      <c r="BD42" s="20">
        <f t="shared" si="66"/>
        <v>0</v>
      </c>
      <c r="BE42" s="21"/>
      <c r="BF42" s="20">
        <f>0.0597372*1000</f>
        <v>59.737199999999994</v>
      </c>
      <c r="BG42" s="20">
        <v>0</v>
      </c>
      <c r="BH42" s="11">
        <f t="shared" si="67"/>
        <v>-33.715700000000005</v>
      </c>
      <c r="BI42" s="12">
        <f t="shared" si="68"/>
        <v>-0.36077746115957882</v>
      </c>
      <c r="BJ42" s="20">
        <f t="shared" si="69"/>
        <v>0</v>
      </c>
      <c r="BK42" s="21"/>
      <c r="BL42" s="20">
        <v>62.367899999999999</v>
      </c>
      <c r="BM42" s="20"/>
      <c r="BN42" s="11">
        <f t="shared" si="70"/>
        <v>2.6307000000000045</v>
      </c>
      <c r="BO42" s="12">
        <f t="shared" si="71"/>
        <v>4.4037885940419116E-2</v>
      </c>
      <c r="BP42" s="20"/>
      <c r="BQ42" s="21"/>
      <c r="BR42" s="64">
        <v>62.367899999999999</v>
      </c>
      <c r="BS42" s="64"/>
      <c r="BT42" s="20">
        <v>67.774199999999993</v>
      </c>
      <c r="BU42" s="20"/>
      <c r="BV42" s="11">
        <f t="shared" si="25"/>
        <v>5.4062999999999946</v>
      </c>
      <c r="BW42" s="12">
        <f t="shared" si="26"/>
        <v>8.6684015334811571E-2</v>
      </c>
      <c r="BX42" s="20"/>
      <c r="BY42" s="21"/>
    </row>
    <row r="43" spans="1:78" s="13" customFormat="1" ht="25.5" x14ac:dyDescent="0.25">
      <c r="A43" s="5" t="s">
        <v>48</v>
      </c>
      <c r="B43" s="15">
        <v>98.39</v>
      </c>
      <c r="C43" s="16">
        <v>48.164999999999999</v>
      </c>
      <c r="D43" s="17">
        <v>42.503999999999998</v>
      </c>
      <c r="E43" s="17">
        <v>17.158000000000001</v>
      </c>
      <c r="F43" s="16">
        <v>-55.886000000000003</v>
      </c>
      <c r="G43" s="18">
        <v>-0.56799999999999995</v>
      </c>
      <c r="H43" s="19">
        <v>-31.007000000000001</v>
      </c>
      <c r="I43" s="18">
        <v>-0.72950000000000004</v>
      </c>
      <c r="J43" s="20">
        <v>44.805999999999997</v>
      </c>
      <c r="K43" s="20"/>
      <c r="L43" s="20">
        <f t="shared" si="53"/>
        <v>2.3019999999999996</v>
      </c>
      <c r="M43" s="21">
        <f t="shared" si="54"/>
        <v>5.4159608507434585E-2</v>
      </c>
      <c r="N43" s="20">
        <f t="shared" ref="N43:N49" si="73">K43-E43</f>
        <v>-17.158000000000001</v>
      </c>
      <c r="O43" s="21">
        <f t="shared" ref="O43:O49" si="74">N43/E43</f>
        <v>-1</v>
      </c>
      <c r="P43" s="20">
        <v>102.874</v>
      </c>
      <c r="Q43" s="20">
        <v>4.5869999999999997</v>
      </c>
      <c r="R43" s="20">
        <f t="shared" si="55"/>
        <v>58.067999999999998</v>
      </c>
      <c r="S43" s="21">
        <f t="shared" si="56"/>
        <v>1.2959871445788511</v>
      </c>
      <c r="T43" s="20">
        <f t="shared" ref="T43:T48" si="75">Q43-K43</f>
        <v>4.5869999999999997</v>
      </c>
      <c r="U43" s="21"/>
      <c r="V43" s="20">
        <v>63.912999999999997</v>
      </c>
      <c r="W43" s="20">
        <v>14.234999999999999</v>
      </c>
      <c r="X43" s="20">
        <f t="shared" si="57"/>
        <v>-38.960999999999999</v>
      </c>
      <c r="Y43" s="21">
        <f t="shared" si="58"/>
        <v>-0.37872543110990142</v>
      </c>
      <c r="Z43" s="20">
        <f t="shared" ref="Z43:Z48" si="76">W43-Q43</f>
        <v>9.6479999999999997</v>
      </c>
      <c r="AA43" s="21">
        <f t="shared" ref="AA43:AA48" si="77">Z43/Q43</f>
        <v>2.1033355134074561</v>
      </c>
      <c r="AB43" s="20">
        <v>43.9294194</v>
      </c>
      <c r="AC43" s="20"/>
      <c r="AD43" s="20">
        <f t="shared" si="59"/>
        <v>-19.983580599999996</v>
      </c>
      <c r="AE43" s="21">
        <f t="shared" si="60"/>
        <v>-0.3126684805908031</v>
      </c>
      <c r="AF43" s="20">
        <f>AC43-W43</f>
        <v>-14.234999999999999</v>
      </c>
      <c r="AG43" s="21">
        <f>AF43/W43</f>
        <v>-1</v>
      </c>
      <c r="AH43" s="20">
        <v>75.124799999999993</v>
      </c>
      <c r="AI43" s="20"/>
      <c r="AJ43" s="20">
        <f t="shared" si="37"/>
        <v>31.195380599999993</v>
      </c>
      <c r="AK43" s="21">
        <f t="shared" si="38"/>
        <v>0.71012503752781198</v>
      </c>
      <c r="AL43" s="20">
        <f t="shared" si="39"/>
        <v>0</v>
      </c>
      <c r="AM43" s="21"/>
      <c r="AN43" s="20">
        <v>34.024641520000003</v>
      </c>
      <c r="AO43" s="20"/>
      <c r="AP43" s="20">
        <f t="shared" si="11"/>
        <v>-41.10015847999999</v>
      </c>
      <c r="AQ43" s="21">
        <f t="shared" si="28"/>
        <v>-0.54709175239068852</v>
      </c>
      <c r="AR43" s="20">
        <f t="shared" si="40"/>
        <v>0</v>
      </c>
      <c r="AS43" s="21"/>
      <c r="AT43" s="20">
        <v>32.168720569999998</v>
      </c>
      <c r="AU43" s="20"/>
      <c r="AV43" s="11">
        <f t="shared" si="61"/>
        <v>-1.8559209500000051</v>
      </c>
      <c r="AW43" s="12">
        <f t="shared" si="62"/>
        <v>-5.4546377774739446E-2</v>
      </c>
      <c r="AX43" s="20">
        <f t="shared" si="63"/>
        <v>0</v>
      </c>
      <c r="AY43" s="21"/>
      <c r="AZ43" s="20">
        <v>42.057899999999997</v>
      </c>
      <c r="BA43" s="20">
        <v>15.557</v>
      </c>
      <c r="BB43" s="11">
        <f t="shared" si="64"/>
        <v>9.8891794299999987</v>
      </c>
      <c r="BC43" s="12">
        <f t="shared" si="65"/>
        <v>0.30741600084718568</v>
      </c>
      <c r="BD43" s="20">
        <f t="shared" si="66"/>
        <v>15.557</v>
      </c>
      <c r="BE43" s="21"/>
      <c r="BF43" s="20">
        <f>0.0443909*1000</f>
        <v>44.390899999999995</v>
      </c>
      <c r="BG43" s="20">
        <f>0.0205752*1000</f>
        <v>20.575199999999999</v>
      </c>
      <c r="BH43" s="11">
        <f t="shared" si="67"/>
        <v>2.3329999999999984</v>
      </c>
      <c r="BI43" s="12">
        <f t="shared" si="68"/>
        <v>5.5471148107727644E-2</v>
      </c>
      <c r="BJ43" s="20">
        <f t="shared" si="69"/>
        <v>5.0181999999999984</v>
      </c>
      <c r="BK43" s="21">
        <f t="shared" si="50"/>
        <v>0.32256861862827013</v>
      </c>
      <c r="BL43" s="20">
        <v>21.349799999999998</v>
      </c>
      <c r="BM43" s="20"/>
      <c r="BN43" s="11">
        <f t="shared" si="70"/>
        <v>-23.041099999999997</v>
      </c>
      <c r="BO43" s="12">
        <f t="shared" si="71"/>
        <v>-0.5190500755785532</v>
      </c>
      <c r="BP43" s="20">
        <f>BM43-BG43</f>
        <v>-20.575199999999999</v>
      </c>
      <c r="BQ43" s="21">
        <f>BP43/BG43</f>
        <v>-1</v>
      </c>
      <c r="BR43" s="64">
        <v>21.349799999999998</v>
      </c>
      <c r="BS43" s="64"/>
      <c r="BT43" s="20">
        <v>25.589700000000001</v>
      </c>
      <c r="BU43" s="20"/>
      <c r="BV43" s="11">
        <f t="shared" si="25"/>
        <v>4.2399000000000022</v>
      </c>
      <c r="BW43" s="12">
        <f t="shared" si="26"/>
        <v>0.19859202428125802</v>
      </c>
      <c r="BX43" s="20"/>
      <c r="BY43" s="21"/>
    </row>
    <row r="44" spans="1:78" s="13" customFormat="1" ht="25.5" x14ac:dyDescent="0.25">
      <c r="A44" s="5" t="s">
        <v>49</v>
      </c>
      <c r="B44" s="15">
        <v>35.853000000000002</v>
      </c>
      <c r="C44" s="16"/>
      <c r="D44" s="17">
        <v>22.347999999999999</v>
      </c>
      <c r="E44" s="17">
        <v>5.8230000000000004</v>
      </c>
      <c r="F44" s="16">
        <v>-13.505000000000001</v>
      </c>
      <c r="G44" s="18">
        <v>-0.37669999999999998</v>
      </c>
      <c r="H44" s="19">
        <v>5.8230000000000004</v>
      </c>
      <c r="I44" s="18">
        <v>0.2606</v>
      </c>
      <c r="J44" s="20">
        <v>33.067</v>
      </c>
      <c r="K44" s="20">
        <v>1.3540000000000001</v>
      </c>
      <c r="L44" s="20">
        <f t="shared" si="53"/>
        <v>10.719000000000001</v>
      </c>
      <c r="M44" s="21">
        <f t="shared" si="54"/>
        <v>0.47964023626275287</v>
      </c>
      <c r="N44" s="20">
        <f t="shared" si="73"/>
        <v>-4.4690000000000003</v>
      </c>
      <c r="O44" s="21">
        <f t="shared" si="74"/>
        <v>-0.76747381075047227</v>
      </c>
      <c r="P44" s="20">
        <v>76.5</v>
      </c>
      <c r="Q44" s="20">
        <v>29.12</v>
      </c>
      <c r="R44" s="20">
        <f t="shared" si="55"/>
        <v>43.433</v>
      </c>
      <c r="S44" s="21">
        <f t="shared" si="56"/>
        <v>1.3134847430973478</v>
      </c>
      <c r="T44" s="20">
        <f t="shared" si="75"/>
        <v>27.766000000000002</v>
      </c>
      <c r="U44" s="21">
        <f>T44/K44</f>
        <v>20.506646971935009</v>
      </c>
      <c r="V44" s="20">
        <v>32.14</v>
      </c>
      <c r="W44" s="20"/>
      <c r="X44" s="20">
        <f t="shared" si="57"/>
        <v>-44.36</v>
      </c>
      <c r="Y44" s="21">
        <f t="shared" si="58"/>
        <v>-0.57986928104575164</v>
      </c>
      <c r="Z44" s="20">
        <f t="shared" si="76"/>
        <v>-29.12</v>
      </c>
      <c r="AA44" s="21">
        <f t="shared" si="77"/>
        <v>-1</v>
      </c>
      <c r="AB44" s="20">
        <v>33.262732999999997</v>
      </c>
      <c r="AC44" s="20"/>
      <c r="AD44" s="20">
        <f t="shared" si="59"/>
        <v>1.1227329999999967</v>
      </c>
      <c r="AE44" s="21">
        <f t="shared" si="60"/>
        <v>3.4932576228998029E-2</v>
      </c>
      <c r="AF44" s="20"/>
      <c r="AG44" s="21"/>
      <c r="AH44" s="20">
        <v>47.311199999999999</v>
      </c>
      <c r="AI44" s="20">
        <v>9.5419</v>
      </c>
      <c r="AJ44" s="20">
        <f t="shared" si="37"/>
        <v>14.048467000000002</v>
      </c>
      <c r="AK44" s="21">
        <f t="shared" si="38"/>
        <v>0.4223485484491008</v>
      </c>
      <c r="AL44" s="20">
        <f t="shared" si="39"/>
        <v>9.5419</v>
      </c>
      <c r="AM44" s="21"/>
      <c r="AN44" s="20">
        <v>51.452931069999998</v>
      </c>
      <c r="AO44" s="20">
        <v>20.61956842</v>
      </c>
      <c r="AP44" s="20">
        <f t="shared" si="11"/>
        <v>4.1417310699999987</v>
      </c>
      <c r="AQ44" s="21">
        <f t="shared" si="28"/>
        <v>8.7542295904563805E-2</v>
      </c>
      <c r="AR44" s="20">
        <f t="shared" si="40"/>
        <v>11.07766842</v>
      </c>
      <c r="AS44" s="21">
        <f>AR44/AI44</f>
        <v>1.1609499596516417</v>
      </c>
      <c r="AT44" s="20">
        <v>30.970290259999999</v>
      </c>
      <c r="AU44" s="20"/>
      <c r="AV44" s="11">
        <f t="shared" si="61"/>
        <v>-20.482640809999999</v>
      </c>
      <c r="AW44" s="12">
        <f t="shared" si="62"/>
        <v>-0.39808501447923439</v>
      </c>
      <c r="AX44" s="20">
        <f t="shared" si="63"/>
        <v>-20.61956842</v>
      </c>
      <c r="AY44" s="21">
        <f>AX44/AO44</f>
        <v>-1</v>
      </c>
      <c r="AZ44" s="20">
        <v>40.720799999999997</v>
      </c>
      <c r="BA44" s="20">
        <v>7.4150999999999998</v>
      </c>
      <c r="BB44" s="11">
        <f t="shared" si="64"/>
        <v>9.7505097399999983</v>
      </c>
      <c r="BC44" s="12">
        <f t="shared" si="65"/>
        <v>0.31483430275089708</v>
      </c>
      <c r="BD44" s="20">
        <f t="shared" si="66"/>
        <v>7.4150999999999998</v>
      </c>
      <c r="BE44" s="21"/>
      <c r="BF44" s="20">
        <f>0.0657339*1000</f>
        <v>65.733899999999991</v>
      </c>
      <c r="BG44" s="20">
        <f>0.0199689*1000</f>
        <v>19.968900000000001</v>
      </c>
      <c r="BH44" s="11">
        <f t="shared" si="67"/>
        <v>25.013099999999994</v>
      </c>
      <c r="BI44" s="12">
        <f t="shared" si="68"/>
        <v>0.61425856073554541</v>
      </c>
      <c r="BJ44" s="20">
        <f t="shared" si="69"/>
        <v>12.553800000000003</v>
      </c>
      <c r="BK44" s="21">
        <f t="shared" si="50"/>
        <v>1.693004814500142</v>
      </c>
      <c r="BL44" s="20">
        <v>45.538499999999999</v>
      </c>
      <c r="BM44" s="20"/>
      <c r="BN44" s="11">
        <f t="shared" si="70"/>
        <v>-20.195399999999992</v>
      </c>
      <c r="BO44" s="12">
        <f t="shared" si="71"/>
        <v>-0.30722960299023783</v>
      </c>
      <c r="BP44" s="20">
        <f>BM44-BG44</f>
        <v>-19.968900000000001</v>
      </c>
      <c r="BQ44" s="21">
        <f>BP44/BG44</f>
        <v>-1</v>
      </c>
      <c r="BR44" s="64">
        <v>45.538499999999999</v>
      </c>
      <c r="BS44" s="64"/>
      <c r="BT44" s="20">
        <v>60.185400000000001</v>
      </c>
      <c r="BU44" s="20">
        <v>19.120999999999999</v>
      </c>
      <c r="BV44" s="11">
        <f t="shared" si="25"/>
        <v>14.646900000000002</v>
      </c>
      <c r="BW44" s="12">
        <f t="shared" si="26"/>
        <v>0.32163773510326432</v>
      </c>
      <c r="BX44" s="20">
        <f t="shared" ref="BX44" si="78">BU44-BS44</f>
        <v>19.120999999999999</v>
      </c>
      <c r="BY44" s="21"/>
      <c r="BZ44" s="35"/>
    </row>
    <row r="45" spans="1:78" s="13" customFormat="1" ht="25.5" x14ac:dyDescent="0.25">
      <c r="A45" s="5" t="s">
        <v>50</v>
      </c>
      <c r="B45" s="15">
        <v>45.808</v>
      </c>
      <c r="C45" s="16">
        <v>11.385999999999999</v>
      </c>
      <c r="D45" s="17">
        <v>37.530999999999999</v>
      </c>
      <c r="E45" s="17">
        <v>18.579000000000001</v>
      </c>
      <c r="F45" s="16">
        <v>-8.2769999999999992</v>
      </c>
      <c r="G45" s="18">
        <v>-0.1807</v>
      </c>
      <c r="H45" s="19">
        <v>7.1929999999999996</v>
      </c>
      <c r="I45" s="18">
        <v>0.19170000000000001</v>
      </c>
      <c r="J45" s="20">
        <v>16.675999999999998</v>
      </c>
      <c r="K45" s="20">
        <v>3.53</v>
      </c>
      <c r="L45" s="20">
        <f t="shared" si="53"/>
        <v>-20.855</v>
      </c>
      <c r="M45" s="21">
        <f t="shared" si="54"/>
        <v>-0.5556739761796915</v>
      </c>
      <c r="N45" s="20">
        <f t="shared" si="73"/>
        <v>-15.049000000000001</v>
      </c>
      <c r="O45" s="21">
        <f t="shared" si="74"/>
        <v>-0.81000053824210139</v>
      </c>
      <c r="P45" s="20">
        <v>50.646999999999998</v>
      </c>
      <c r="Q45" s="20">
        <v>7.0049999999999999</v>
      </c>
      <c r="R45" s="20">
        <f t="shared" si="55"/>
        <v>33.971000000000004</v>
      </c>
      <c r="S45" s="21">
        <f t="shared" si="56"/>
        <v>2.0371192132405858</v>
      </c>
      <c r="T45" s="20">
        <f t="shared" si="75"/>
        <v>3.4750000000000001</v>
      </c>
      <c r="U45" s="21">
        <f>T45/K45</f>
        <v>0.98441926345609077</v>
      </c>
      <c r="V45" s="20">
        <v>30.887</v>
      </c>
      <c r="W45" s="20">
        <v>3.395</v>
      </c>
      <c r="X45" s="20">
        <f t="shared" si="57"/>
        <v>-19.759999999999998</v>
      </c>
      <c r="Y45" s="21">
        <f t="shared" si="58"/>
        <v>-0.39015144036171934</v>
      </c>
      <c r="Z45" s="20">
        <f t="shared" si="76"/>
        <v>-3.61</v>
      </c>
      <c r="AA45" s="21">
        <f t="shared" si="77"/>
        <v>-0.51534618129907206</v>
      </c>
      <c r="AB45" s="20">
        <v>4.7248741799999996</v>
      </c>
      <c r="AC45" s="20"/>
      <c r="AD45" s="20">
        <f t="shared" si="59"/>
        <v>-26.16212582</v>
      </c>
      <c r="AE45" s="21">
        <f t="shared" si="60"/>
        <v>-0.84702709295172729</v>
      </c>
      <c r="AF45" s="20">
        <f>AC45-W45</f>
        <v>-3.395</v>
      </c>
      <c r="AG45" s="21">
        <f>AF45/W45</f>
        <v>-1</v>
      </c>
      <c r="AH45" s="20">
        <v>23.9908</v>
      </c>
      <c r="AI45" s="20"/>
      <c r="AJ45" s="20">
        <f t="shared" si="37"/>
        <v>19.26592582</v>
      </c>
      <c r="AK45" s="21">
        <f t="shared" si="38"/>
        <v>4.0775531974059893</v>
      </c>
      <c r="AL45" s="20">
        <f t="shared" si="39"/>
        <v>0</v>
      </c>
      <c r="AM45" s="21"/>
      <c r="AN45" s="20">
        <v>23.20388093</v>
      </c>
      <c r="AO45" s="20"/>
      <c r="AP45" s="20">
        <f t="shared" si="11"/>
        <v>-0.78691906999999972</v>
      </c>
      <c r="AQ45" s="21">
        <f t="shared" si="28"/>
        <v>-3.2800868249495629E-2</v>
      </c>
      <c r="AR45" s="20">
        <f t="shared" si="40"/>
        <v>0</v>
      </c>
      <c r="AS45" s="21"/>
      <c r="AT45" s="20">
        <v>3.8247298600000001</v>
      </c>
      <c r="AU45" s="20"/>
      <c r="AV45" s="11">
        <f t="shared" si="61"/>
        <v>-19.379151069999999</v>
      </c>
      <c r="AW45" s="12">
        <f t="shared" si="62"/>
        <v>-0.83516852756061777</v>
      </c>
      <c r="AX45" s="20">
        <f t="shared" si="63"/>
        <v>0</v>
      </c>
      <c r="AY45" s="21"/>
      <c r="AZ45" s="20">
        <v>32.321199999999997</v>
      </c>
      <c r="BA45" s="20"/>
      <c r="BB45" s="11">
        <f t="shared" si="64"/>
        <v>28.496470139999996</v>
      </c>
      <c r="BC45" s="12">
        <f t="shared" si="65"/>
        <v>7.4505837492010469</v>
      </c>
      <c r="BD45" s="20">
        <f t="shared" si="66"/>
        <v>0</v>
      </c>
      <c r="BE45" s="21"/>
      <c r="BF45" s="20">
        <f>0.0284408*1000</f>
        <v>28.440799999999999</v>
      </c>
      <c r="BG45" s="20">
        <v>0</v>
      </c>
      <c r="BH45" s="11">
        <f t="shared" si="67"/>
        <v>-3.8803999999999981</v>
      </c>
      <c r="BI45" s="12">
        <f t="shared" si="68"/>
        <v>-0.12005742361050946</v>
      </c>
      <c r="BJ45" s="20">
        <f t="shared" si="69"/>
        <v>0</v>
      </c>
      <c r="BK45" s="21"/>
      <c r="BL45" s="20">
        <v>1.7596000000000001</v>
      </c>
      <c r="BM45" s="20"/>
      <c r="BN45" s="11">
        <f t="shared" si="70"/>
        <v>-26.6812</v>
      </c>
      <c r="BO45" s="12">
        <f t="shared" si="71"/>
        <v>-0.93813113555174266</v>
      </c>
      <c r="BP45" s="20"/>
      <c r="BQ45" s="21"/>
      <c r="BR45" s="64">
        <v>1.7596000000000001</v>
      </c>
      <c r="BS45" s="64"/>
      <c r="BT45" s="20">
        <v>31.070599999999999</v>
      </c>
      <c r="BU45" s="20"/>
      <c r="BV45" s="11">
        <f t="shared" si="25"/>
        <v>29.311</v>
      </c>
      <c r="BW45" s="12">
        <f t="shared" si="26"/>
        <v>16.657763127983632</v>
      </c>
      <c r="BX45" s="20"/>
      <c r="BY45" s="21"/>
    </row>
    <row r="46" spans="1:78" s="13" customFormat="1" ht="25.5" x14ac:dyDescent="0.25">
      <c r="A46" s="5" t="s">
        <v>51</v>
      </c>
      <c r="B46" s="15">
        <v>137.39599999999999</v>
      </c>
      <c r="C46" s="16">
        <v>7.33</v>
      </c>
      <c r="D46" s="17">
        <v>133.21199999999999</v>
      </c>
      <c r="E46" s="17">
        <v>13.337</v>
      </c>
      <c r="F46" s="16">
        <v>-4.1840000000000002</v>
      </c>
      <c r="G46" s="18">
        <v>-3.0499999999999999E-2</v>
      </c>
      <c r="H46" s="19">
        <v>6.0069999999999997</v>
      </c>
      <c r="I46" s="18">
        <v>4.5100000000000001E-2</v>
      </c>
      <c r="J46" s="20">
        <v>184.10400000000001</v>
      </c>
      <c r="K46" s="20">
        <v>34.774000000000001</v>
      </c>
      <c r="L46" s="20">
        <f t="shared" si="53"/>
        <v>50.892000000000024</v>
      </c>
      <c r="M46" s="21">
        <f t="shared" si="54"/>
        <v>0.38203765426538172</v>
      </c>
      <c r="N46" s="20">
        <f t="shared" si="73"/>
        <v>21.437000000000001</v>
      </c>
      <c r="O46" s="21">
        <f t="shared" si="74"/>
        <v>1.6073329834295569</v>
      </c>
      <c r="P46" s="20">
        <v>395.99400000000003</v>
      </c>
      <c r="Q46" s="20">
        <v>107.494</v>
      </c>
      <c r="R46" s="20">
        <f t="shared" si="55"/>
        <v>211.89000000000001</v>
      </c>
      <c r="S46" s="21">
        <f t="shared" si="56"/>
        <v>1.1509255638117586</v>
      </c>
      <c r="T46" s="20">
        <f t="shared" si="75"/>
        <v>72.72</v>
      </c>
      <c r="U46" s="21">
        <f>T46/K46</f>
        <v>2.0912175763501466</v>
      </c>
      <c r="V46" s="20">
        <v>361.67099999999999</v>
      </c>
      <c r="W46" s="20">
        <v>51.472999999999999</v>
      </c>
      <c r="X46" s="20">
        <f t="shared" si="57"/>
        <v>-34.323000000000036</v>
      </c>
      <c r="Y46" s="21">
        <f t="shared" si="58"/>
        <v>-8.6675555690237813E-2</v>
      </c>
      <c r="Z46" s="20">
        <f t="shared" si="76"/>
        <v>-56.021000000000001</v>
      </c>
      <c r="AA46" s="21">
        <f t="shared" si="77"/>
        <v>-0.52115466909781016</v>
      </c>
      <c r="AB46" s="20">
        <v>191.90539179999999</v>
      </c>
      <c r="AC46" s="20"/>
      <c r="AD46" s="20">
        <f t="shared" si="59"/>
        <v>-169.7656082</v>
      </c>
      <c r="AE46" s="21">
        <f t="shared" si="60"/>
        <v>-0.46939237096698383</v>
      </c>
      <c r="AF46" s="20">
        <f>AC46-W46</f>
        <v>-51.472999999999999</v>
      </c>
      <c r="AG46" s="21">
        <f>AF46/W46</f>
        <v>-1</v>
      </c>
      <c r="AH46" s="20">
        <v>220.45500000000001</v>
      </c>
      <c r="AI46" s="20">
        <v>85.676000000000002</v>
      </c>
      <c r="AJ46" s="20">
        <f t="shared" si="37"/>
        <v>28.549608200000023</v>
      </c>
      <c r="AK46" s="21">
        <f t="shared" si="38"/>
        <v>0.14876918221116925</v>
      </c>
      <c r="AL46" s="20">
        <f t="shared" si="39"/>
        <v>85.676000000000002</v>
      </c>
      <c r="AM46" s="21"/>
      <c r="AN46" s="20">
        <v>116.58470138</v>
      </c>
      <c r="AO46" s="20"/>
      <c r="AP46" s="20">
        <f t="shared" si="11"/>
        <v>-103.87029862000001</v>
      </c>
      <c r="AQ46" s="21">
        <f t="shared" si="28"/>
        <v>-0.47116326969222749</v>
      </c>
      <c r="AR46" s="20">
        <f t="shared" si="40"/>
        <v>-85.676000000000002</v>
      </c>
      <c r="AS46" s="21">
        <f>AR46/AI46</f>
        <v>-1</v>
      </c>
      <c r="AT46" s="20">
        <v>76.871371789999998</v>
      </c>
      <c r="AU46" s="20"/>
      <c r="AV46" s="11">
        <f t="shared" si="61"/>
        <v>-39.713329590000001</v>
      </c>
      <c r="AW46" s="12">
        <f t="shared" si="62"/>
        <v>-0.34063928731572657</v>
      </c>
      <c r="AX46" s="20">
        <f t="shared" si="63"/>
        <v>0</v>
      </c>
      <c r="AY46" s="21"/>
      <c r="AZ46" s="20">
        <v>210.6618</v>
      </c>
      <c r="BA46" s="20"/>
      <c r="BB46" s="11">
        <f t="shared" si="64"/>
        <v>133.79042821000002</v>
      </c>
      <c r="BC46" s="12">
        <f t="shared" si="65"/>
        <v>1.7404454362476263</v>
      </c>
      <c r="BD46" s="20">
        <f t="shared" si="66"/>
        <v>0</v>
      </c>
      <c r="BE46" s="21"/>
      <c r="BF46" s="20">
        <f>0.3261517*1000</f>
        <v>326.15170000000001</v>
      </c>
      <c r="BG46" s="20">
        <f>0.0482063*1000</f>
        <v>48.206299999999999</v>
      </c>
      <c r="BH46" s="11">
        <f t="shared" si="67"/>
        <v>115.48990000000001</v>
      </c>
      <c r="BI46" s="12">
        <f t="shared" si="68"/>
        <v>0.54822421530623966</v>
      </c>
      <c r="BJ46" s="20">
        <f t="shared" si="69"/>
        <v>48.206299999999999</v>
      </c>
      <c r="BK46" s="21"/>
      <c r="BL46" s="20">
        <v>324.00909999999999</v>
      </c>
      <c r="BM46" s="20"/>
      <c r="BN46" s="11">
        <f t="shared" si="70"/>
        <v>-2.1426000000000158</v>
      </c>
      <c r="BO46" s="12">
        <f t="shared" si="71"/>
        <v>-6.569335680298511E-3</v>
      </c>
      <c r="BP46" s="20">
        <f>BM46-BG46</f>
        <v>-48.206299999999999</v>
      </c>
      <c r="BQ46" s="21"/>
      <c r="BR46" s="64">
        <v>288.78789999999998</v>
      </c>
      <c r="BS46" s="64"/>
      <c r="BT46" s="20">
        <v>372.80130000000003</v>
      </c>
      <c r="BU46" s="20"/>
      <c r="BV46" s="11">
        <f t="shared" si="25"/>
        <v>84.013400000000047</v>
      </c>
      <c r="BW46" s="12">
        <f t="shared" si="26"/>
        <v>0.29091731336389109</v>
      </c>
      <c r="BX46" s="20"/>
      <c r="BY46" s="21"/>
    </row>
    <row r="47" spans="1:78" s="13" customFormat="1" ht="25.5" x14ac:dyDescent="0.25">
      <c r="A47" s="5" t="s">
        <v>52</v>
      </c>
      <c r="B47" s="15">
        <v>65.944999999999993</v>
      </c>
      <c r="C47" s="16"/>
      <c r="D47" s="17">
        <v>97.2</v>
      </c>
      <c r="E47" s="17">
        <v>9.9909999999999997</v>
      </c>
      <c r="F47" s="16">
        <v>31.254999999999999</v>
      </c>
      <c r="G47" s="18">
        <v>0.47399999999999998</v>
      </c>
      <c r="H47" s="19">
        <v>9.9909999999999997</v>
      </c>
      <c r="I47" s="18">
        <v>0.1028</v>
      </c>
      <c r="J47" s="20">
        <v>22.408000000000001</v>
      </c>
      <c r="K47" s="20">
        <v>4.423</v>
      </c>
      <c r="L47" s="20">
        <f t="shared" si="53"/>
        <v>-74.792000000000002</v>
      </c>
      <c r="M47" s="21">
        <f t="shared" si="54"/>
        <v>-0.76946502057613164</v>
      </c>
      <c r="N47" s="20">
        <f t="shared" si="73"/>
        <v>-5.5679999999999996</v>
      </c>
      <c r="O47" s="21">
        <f t="shared" si="74"/>
        <v>-0.55730157141427283</v>
      </c>
      <c r="P47" s="20">
        <v>90.988</v>
      </c>
      <c r="Q47" s="20">
        <v>11.468999999999999</v>
      </c>
      <c r="R47" s="20">
        <f t="shared" si="55"/>
        <v>68.58</v>
      </c>
      <c r="S47" s="21">
        <f t="shared" si="56"/>
        <v>3.0605141021063904</v>
      </c>
      <c r="T47" s="20">
        <f t="shared" si="75"/>
        <v>7.0459999999999994</v>
      </c>
      <c r="U47" s="21">
        <f>T47/K47</f>
        <v>1.5930364006330544</v>
      </c>
      <c r="V47" s="20">
        <v>43.274999999999999</v>
      </c>
      <c r="W47" s="20"/>
      <c r="X47" s="20">
        <f t="shared" si="57"/>
        <v>-47.713000000000001</v>
      </c>
      <c r="Y47" s="21">
        <f t="shared" si="58"/>
        <v>-0.52438783136237743</v>
      </c>
      <c r="Z47" s="20">
        <f t="shared" si="76"/>
        <v>-11.468999999999999</v>
      </c>
      <c r="AA47" s="21">
        <f t="shared" si="77"/>
        <v>-1</v>
      </c>
      <c r="AB47" s="20">
        <v>19.954642840000002</v>
      </c>
      <c r="AC47" s="20"/>
      <c r="AD47" s="20">
        <f t="shared" si="59"/>
        <v>-23.320357159999997</v>
      </c>
      <c r="AE47" s="21">
        <f t="shared" si="60"/>
        <v>-0.53888751380704791</v>
      </c>
      <c r="AF47" s="20"/>
      <c r="AG47" s="21"/>
      <c r="AH47" s="20">
        <v>74.162800000000004</v>
      </c>
      <c r="AI47" s="20">
        <v>18.591100000000001</v>
      </c>
      <c r="AJ47" s="20">
        <f t="shared" si="37"/>
        <v>54.208157159999999</v>
      </c>
      <c r="AK47" s="21">
        <f t="shared" si="38"/>
        <v>2.7165686499453274</v>
      </c>
      <c r="AL47" s="20">
        <f t="shared" si="39"/>
        <v>18.591100000000001</v>
      </c>
      <c r="AM47" s="21"/>
      <c r="AN47" s="20">
        <v>37.906112479999997</v>
      </c>
      <c r="AO47" s="20"/>
      <c r="AP47" s="20">
        <f t="shared" si="11"/>
        <v>-36.256687520000007</v>
      </c>
      <c r="AQ47" s="21">
        <f t="shared" si="28"/>
        <v>-0.48887970141364678</v>
      </c>
      <c r="AR47" s="20">
        <f t="shared" si="40"/>
        <v>-18.591100000000001</v>
      </c>
      <c r="AS47" s="21">
        <f>AR47/AI47</f>
        <v>-1</v>
      </c>
      <c r="AT47" s="20">
        <v>5.2486968599999999</v>
      </c>
      <c r="AU47" s="20"/>
      <c r="AV47" s="11">
        <f t="shared" si="61"/>
        <v>-32.657415619999995</v>
      </c>
      <c r="AW47" s="12">
        <f t="shared" si="62"/>
        <v>-0.86153428783367547</v>
      </c>
      <c r="AX47" s="20">
        <f t="shared" si="63"/>
        <v>0</v>
      </c>
      <c r="AY47" s="21"/>
      <c r="AZ47" s="20">
        <v>50.707900000000002</v>
      </c>
      <c r="BA47" s="20"/>
      <c r="BB47" s="11">
        <f t="shared" si="64"/>
        <v>45.45920314</v>
      </c>
      <c r="BC47" s="12">
        <f t="shared" si="65"/>
        <v>8.6610456561974125</v>
      </c>
      <c r="BD47" s="20">
        <f t="shared" si="66"/>
        <v>0</v>
      </c>
      <c r="BE47" s="21"/>
      <c r="BF47" s="20">
        <f>0.0341557*1000</f>
        <v>34.155699999999996</v>
      </c>
      <c r="BG47" s="20">
        <v>0</v>
      </c>
      <c r="BH47" s="11">
        <f t="shared" si="67"/>
        <v>-16.552200000000006</v>
      </c>
      <c r="BI47" s="12">
        <f t="shared" si="68"/>
        <v>-0.32642251010197632</v>
      </c>
      <c r="BJ47" s="20">
        <f t="shared" si="69"/>
        <v>0</v>
      </c>
      <c r="BK47" s="21"/>
      <c r="BL47" s="20">
        <v>1.0501</v>
      </c>
      <c r="BM47" s="20"/>
      <c r="BN47" s="11">
        <f t="shared" si="70"/>
        <v>-33.105599999999995</v>
      </c>
      <c r="BO47" s="12">
        <f t="shared" si="71"/>
        <v>-0.96925549761825991</v>
      </c>
      <c r="BP47" s="20"/>
      <c r="BQ47" s="21"/>
      <c r="BR47" s="64">
        <v>1.0501</v>
      </c>
      <c r="BS47" s="64"/>
      <c r="BT47" s="20">
        <v>33.965200000000003</v>
      </c>
      <c r="BU47" s="20"/>
      <c r="BV47" s="11">
        <f t="shared" si="25"/>
        <v>32.915100000000002</v>
      </c>
      <c r="BW47" s="12">
        <f t="shared" si="26"/>
        <v>31.344729073421579</v>
      </c>
      <c r="BX47" s="20"/>
      <c r="BY47" s="21"/>
    </row>
    <row r="48" spans="1:78" s="13" customFormat="1" ht="25.5" x14ac:dyDescent="0.25">
      <c r="A48" s="5" t="s">
        <v>53</v>
      </c>
      <c r="B48" s="15">
        <v>31.41</v>
      </c>
      <c r="C48" s="16"/>
      <c r="D48" s="17">
        <v>38.048000000000002</v>
      </c>
      <c r="E48" s="17">
        <v>2.2549999999999999</v>
      </c>
      <c r="F48" s="16">
        <v>6.6379999999999999</v>
      </c>
      <c r="G48" s="18">
        <v>0.21129999999999999</v>
      </c>
      <c r="H48" s="19">
        <v>2.2549999999999999</v>
      </c>
      <c r="I48" s="18">
        <v>5.9299999999999999E-2</v>
      </c>
      <c r="J48" s="20">
        <v>52.737000000000002</v>
      </c>
      <c r="K48" s="20">
        <v>2.7469999999999999</v>
      </c>
      <c r="L48" s="20">
        <f t="shared" si="53"/>
        <v>14.689</v>
      </c>
      <c r="M48" s="21">
        <f t="shared" si="54"/>
        <v>0.3860649705634987</v>
      </c>
      <c r="N48" s="20">
        <f t="shared" si="73"/>
        <v>0.49199999999999999</v>
      </c>
      <c r="O48" s="21">
        <f t="shared" si="74"/>
        <v>0.2181818181818182</v>
      </c>
      <c r="P48" s="20">
        <v>63.460999999999999</v>
      </c>
      <c r="Q48" s="20">
        <v>0.64200000000000002</v>
      </c>
      <c r="R48" s="20">
        <f t="shared" si="55"/>
        <v>10.723999999999997</v>
      </c>
      <c r="S48" s="21">
        <f t="shared" si="56"/>
        <v>0.20334869256878466</v>
      </c>
      <c r="T48" s="20">
        <f t="shared" si="75"/>
        <v>-2.105</v>
      </c>
      <c r="U48" s="21">
        <f>T48/K48</f>
        <v>-0.76629049872588284</v>
      </c>
      <c r="V48" s="20">
        <v>55.954999999999998</v>
      </c>
      <c r="W48" s="20"/>
      <c r="X48" s="20">
        <f t="shared" si="57"/>
        <v>-7.5060000000000002</v>
      </c>
      <c r="Y48" s="21">
        <f t="shared" si="58"/>
        <v>-0.11827736720190354</v>
      </c>
      <c r="Z48" s="20">
        <f t="shared" si="76"/>
        <v>-0.64200000000000002</v>
      </c>
      <c r="AA48" s="21">
        <f t="shared" si="77"/>
        <v>-1</v>
      </c>
      <c r="AB48" s="20">
        <v>36.710945969999997</v>
      </c>
      <c r="AC48" s="20"/>
      <c r="AD48" s="20">
        <f t="shared" si="59"/>
        <v>-19.244054030000001</v>
      </c>
      <c r="AE48" s="21">
        <f t="shared" si="60"/>
        <v>-0.34392018639978555</v>
      </c>
      <c r="AF48" s="20"/>
      <c r="AG48" s="21"/>
      <c r="AH48" s="20">
        <v>32.470300000000002</v>
      </c>
      <c r="AI48" s="20"/>
      <c r="AJ48" s="20">
        <f t="shared" si="37"/>
        <v>-4.2406459699999957</v>
      </c>
      <c r="AK48" s="21">
        <f t="shared" si="38"/>
        <v>-0.11551448370372777</v>
      </c>
      <c r="AL48" s="20">
        <f t="shared" si="39"/>
        <v>0</v>
      </c>
      <c r="AM48" s="21"/>
      <c r="AN48" s="20">
        <v>45.913773249999998</v>
      </c>
      <c r="AO48" s="20"/>
      <c r="AP48" s="20">
        <f t="shared" si="11"/>
        <v>13.443473249999997</v>
      </c>
      <c r="AQ48" s="21">
        <f t="shared" si="28"/>
        <v>0.41402368472111423</v>
      </c>
      <c r="AR48" s="20">
        <f t="shared" si="40"/>
        <v>0</v>
      </c>
      <c r="AS48" s="21"/>
      <c r="AT48" s="20">
        <v>70.767705609999993</v>
      </c>
      <c r="AU48" s="20"/>
      <c r="AV48" s="11">
        <f t="shared" si="61"/>
        <v>24.853932359999995</v>
      </c>
      <c r="AW48" s="12">
        <f t="shared" si="62"/>
        <v>0.54131757424227811</v>
      </c>
      <c r="AX48" s="20">
        <f t="shared" si="63"/>
        <v>0</v>
      </c>
      <c r="AY48" s="21"/>
      <c r="AZ48" s="20">
        <v>55.597200000000001</v>
      </c>
      <c r="BA48" s="20"/>
      <c r="BB48" s="11">
        <f t="shared" si="64"/>
        <v>-15.170505609999992</v>
      </c>
      <c r="BC48" s="12">
        <f t="shared" si="65"/>
        <v>-0.21437046007404101</v>
      </c>
      <c r="BD48" s="20">
        <f t="shared" si="66"/>
        <v>0</v>
      </c>
      <c r="BE48" s="21"/>
      <c r="BF48" s="20">
        <f>0.0581603*1000</f>
        <v>58.160299999999999</v>
      </c>
      <c r="BG48" s="20">
        <v>0</v>
      </c>
      <c r="BH48" s="11">
        <f t="shared" si="67"/>
        <v>2.5630999999999986</v>
      </c>
      <c r="BI48" s="12">
        <f t="shared" si="68"/>
        <v>4.6101242508615518E-2</v>
      </c>
      <c r="BJ48" s="20">
        <f t="shared" si="69"/>
        <v>0</v>
      </c>
      <c r="BK48" s="21"/>
      <c r="BL48" s="20">
        <v>43.0212</v>
      </c>
      <c r="BM48" s="20"/>
      <c r="BN48" s="11">
        <f t="shared" si="70"/>
        <v>-15.139099999999999</v>
      </c>
      <c r="BO48" s="12">
        <f t="shared" si="71"/>
        <v>-0.26029955141221761</v>
      </c>
      <c r="BP48" s="20"/>
      <c r="BQ48" s="21"/>
      <c r="BR48" s="64">
        <v>43.0212</v>
      </c>
      <c r="BS48" s="64"/>
      <c r="BT48" s="20">
        <v>29.869399999999999</v>
      </c>
      <c r="BU48" s="20"/>
      <c r="BV48" s="11">
        <f t="shared" ref="BV48" si="79">BT48-BR48</f>
        <v>-13.151800000000001</v>
      </c>
      <c r="BW48" s="12">
        <f>BV48/BR48</f>
        <v>-0.30570509423261094</v>
      </c>
      <c r="BX48" s="20"/>
      <c r="BY48" s="21"/>
    </row>
    <row r="49" spans="1:78" s="13" customFormat="1" ht="38.25" x14ac:dyDescent="0.25">
      <c r="A49" s="5" t="s">
        <v>54</v>
      </c>
      <c r="B49" s="15">
        <v>93.884</v>
      </c>
      <c r="C49" s="16"/>
      <c r="D49" s="17">
        <v>100.411</v>
      </c>
      <c r="E49" s="17">
        <v>4.8650000000000002</v>
      </c>
      <c r="F49" s="16">
        <v>6.5270000000000001</v>
      </c>
      <c r="G49" s="18">
        <v>6.9500000000000006E-2</v>
      </c>
      <c r="H49" s="19">
        <v>4.8650000000000002</v>
      </c>
      <c r="I49" s="18">
        <v>4.8500000000000001E-2</v>
      </c>
      <c r="J49" s="20">
        <v>90.513000000000005</v>
      </c>
      <c r="K49" s="20"/>
      <c r="L49" s="20">
        <f t="shared" si="53"/>
        <v>-9.8979999999999961</v>
      </c>
      <c r="M49" s="21">
        <f t="shared" si="54"/>
        <v>-9.8574857336347577E-2</v>
      </c>
      <c r="N49" s="20">
        <f t="shared" si="73"/>
        <v>-4.8650000000000002</v>
      </c>
      <c r="O49" s="21">
        <f t="shared" si="74"/>
        <v>-1</v>
      </c>
      <c r="P49" s="20">
        <v>102.42</v>
      </c>
      <c r="Q49" s="20"/>
      <c r="R49" s="20">
        <f t="shared" si="55"/>
        <v>11.906999999999996</v>
      </c>
      <c r="S49" s="21">
        <f t="shared" si="56"/>
        <v>0.13155016406483042</v>
      </c>
      <c r="T49" s="20"/>
      <c r="U49" s="21"/>
      <c r="V49" s="20">
        <v>73.569000000000003</v>
      </c>
      <c r="W49" s="20"/>
      <c r="X49" s="20">
        <f t="shared" si="57"/>
        <v>-28.850999999999999</v>
      </c>
      <c r="Y49" s="21">
        <f t="shared" si="58"/>
        <v>-0.28169302870533097</v>
      </c>
      <c r="Z49" s="20"/>
      <c r="AA49" s="21"/>
      <c r="AB49" s="20">
        <v>53.517029690000001</v>
      </c>
      <c r="AC49" s="20"/>
      <c r="AD49" s="20">
        <f t="shared" si="59"/>
        <v>-20.051970310000002</v>
      </c>
      <c r="AE49" s="21">
        <f t="shared" si="60"/>
        <v>-0.27256004988514188</v>
      </c>
      <c r="AF49" s="20"/>
      <c r="AG49" s="21"/>
      <c r="AH49" s="20">
        <v>97.600499999999997</v>
      </c>
      <c r="AI49" s="20"/>
      <c r="AJ49" s="20">
        <f t="shared" si="37"/>
        <v>44.083470309999996</v>
      </c>
      <c r="AK49" s="21">
        <f t="shared" si="38"/>
        <v>0.82372789680884095</v>
      </c>
      <c r="AL49" s="20">
        <f t="shared" si="39"/>
        <v>0</v>
      </c>
      <c r="AM49" s="21"/>
      <c r="AN49" s="20">
        <v>108.26467878</v>
      </c>
      <c r="AO49" s="20"/>
      <c r="AP49" s="20">
        <f t="shared" si="11"/>
        <v>10.66417878</v>
      </c>
      <c r="AQ49" s="21">
        <f t="shared" si="28"/>
        <v>0.10926356709238171</v>
      </c>
      <c r="AR49" s="20">
        <f t="shared" si="40"/>
        <v>0</v>
      </c>
      <c r="AS49" s="21"/>
      <c r="AT49" s="20">
        <v>51.895323810000001</v>
      </c>
      <c r="AU49" s="20"/>
      <c r="AV49" s="11">
        <f t="shared" si="61"/>
        <v>-56.369354969999996</v>
      </c>
      <c r="AW49" s="12">
        <f t="shared" si="62"/>
        <v>-0.52066246910080194</v>
      </c>
      <c r="AX49" s="20">
        <f t="shared" si="63"/>
        <v>0</v>
      </c>
      <c r="AY49" s="21"/>
      <c r="AZ49" s="20">
        <v>170.75450000000001</v>
      </c>
      <c r="BA49" s="20"/>
      <c r="BB49" s="11">
        <f t="shared" si="64"/>
        <v>118.85917619</v>
      </c>
      <c r="BC49" s="12">
        <f t="shared" si="65"/>
        <v>2.2903638991668909</v>
      </c>
      <c r="BD49" s="20">
        <f t="shared" si="66"/>
        <v>0</v>
      </c>
      <c r="BE49" s="21"/>
      <c r="BF49" s="20">
        <v>116.7821</v>
      </c>
      <c r="BG49" s="20">
        <v>0</v>
      </c>
      <c r="BH49" s="11">
        <f t="shared" si="67"/>
        <v>-53.972400000000007</v>
      </c>
      <c r="BI49" s="12">
        <f t="shared" si="68"/>
        <v>-0.31608186021451856</v>
      </c>
      <c r="BJ49" s="20">
        <f t="shared" si="69"/>
        <v>0</v>
      </c>
      <c r="BK49" s="21"/>
      <c r="BL49" s="20">
        <v>12.9299</v>
      </c>
      <c r="BM49" s="20"/>
      <c r="BN49" s="11">
        <f t="shared" si="70"/>
        <v>-103.8522</v>
      </c>
      <c r="BO49" s="12">
        <f t="shared" si="71"/>
        <v>-0.88928183343166456</v>
      </c>
      <c r="BP49" s="20"/>
      <c r="BQ49" s="21"/>
      <c r="BR49" s="64">
        <v>7.0198</v>
      </c>
      <c r="BS49" s="64"/>
      <c r="BT49" s="20">
        <v>83.4846</v>
      </c>
      <c r="BU49" s="20"/>
      <c r="BV49" s="11">
        <f t="shared" ref="BV49:BV60" si="80">BT49-BR49</f>
        <v>76.464799999999997</v>
      </c>
      <c r="BW49" s="12">
        <f t="shared" ref="BW49:BW60" si="81">BV49/BR49</f>
        <v>10.892731986666286</v>
      </c>
      <c r="BX49" s="20"/>
      <c r="BY49" s="21"/>
    </row>
    <row r="50" spans="1:78" s="13" customFormat="1" ht="25.5" x14ac:dyDescent="0.25">
      <c r="A50" s="5" t="s">
        <v>55</v>
      </c>
      <c r="B50" s="15">
        <v>23.695</v>
      </c>
      <c r="C50" s="16"/>
      <c r="D50" s="17">
        <v>31.332999999999998</v>
      </c>
      <c r="E50" s="17"/>
      <c r="F50" s="16">
        <v>7.6379999999999999</v>
      </c>
      <c r="G50" s="18">
        <v>0.32229999999999998</v>
      </c>
      <c r="H50" s="19"/>
      <c r="I50" s="19"/>
      <c r="J50" s="20">
        <v>22.239000000000001</v>
      </c>
      <c r="K50" s="20"/>
      <c r="L50" s="20">
        <f t="shared" si="53"/>
        <v>-9.0939999999999976</v>
      </c>
      <c r="M50" s="21">
        <f t="shared" si="54"/>
        <v>-0.2902371301822359</v>
      </c>
      <c r="N50" s="20"/>
      <c r="O50" s="21"/>
      <c r="P50" s="20">
        <v>57.798999999999999</v>
      </c>
      <c r="Q50" s="20"/>
      <c r="R50" s="20">
        <f t="shared" si="55"/>
        <v>35.56</v>
      </c>
      <c r="S50" s="21">
        <f t="shared" si="56"/>
        <v>1.5989927604658483</v>
      </c>
      <c r="T50" s="20"/>
      <c r="U50" s="21"/>
      <c r="V50" s="20">
        <v>66.355999999999995</v>
      </c>
      <c r="W50" s="20"/>
      <c r="X50" s="20">
        <f t="shared" si="57"/>
        <v>8.5569999999999951</v>
      </c>
      <c r="Y50" s="21">
        <f t="shared" si="58"/>
        <v>0.14804754407515691</v>
      </c>
      <c r="Z50" s="20"/>
      <c r="AA50" s="21"/>
      <c r="AB50" s="20">
        <v>68.224925810000002</v>
      </c>
      <c r="AC50" s="20"/>
      <c r="AD50" s="20">
        <f t="shared" si="59"/>
        <v>1.8689258100000075</v>
      </c>
      <c r="AE50" s="21">
        <f t="shared" si="60"/>
        <v>2.8165136686961353E-2</v>
      </c>
      <c r="AF50" s="20"/>
      <c r="AG50" s="21"/>
      <c r="AH50" s="20">
        <v>53.349800000000002</v>
      </c>
      <c r="AI50" s="20"/>
      <c r="AJ50" s="20">
        <f t="shared" si="37"/>
        <v>-14.87512581</v>
      </c>
      <c r="AK50" s="21">
        <f t="shared" si="38"/>
        <v>-0.218030663036935</v>
      </c>
      <c r="AL50" s="20">
        <f t="shared" si="39"/>
        <v>0</v>
      </c>
      <c r="AM50" s="21"/>
      <c r="AN50" s="20">
        <v>61.181791410000002</v>
      </c>
      <c r="AO50" s="20">
        <v>5.2834188299999996</v>
      </c>
      <c r="AP50" s="20">
        <f t="shared" si="11"/>
        <v>7.8319914100000005</v>
      </c>
      <c r="AQ50" s="21">
        <f t="shared" si="28"/>
        <v>0.14680451304409764</v>
      </c>
      <c r="AR50" s="20">
        <f t="shared" si="40"/>
        <v>5.2834188299999996</v>
      </c>
      <c r="AS50" s="21"/>
      <c r="AT50" s="20">
        <v>61.297558500000001</v>
      </c>
      <c r="AU50" s="20"/>
      <c r="AV50" s="11">
        <f t="shared" si="61"/>
        <v>0.11576708999999852</v>
      </c>
      <c r="AW50" s="12">
        <f t="shared" si="62"/>
        <v>1.8921820909787335E-3</v>
      </c>
      <c r="AX50" s="20">
        <f t="shared" si="63"/>
        <v>-5.2834188299999996</v>
      </c>
      <c r="AY50" s="21">
        <f>AX50/AO50</f>
        <v>-1</v>
      </c>
      <c r="AZ50" s="20">
        <v>57.973500000000001</v>
      </c>
      <c r="BA50" s="20"/>
      <c r="BB50" s="11">
        <f t="shared" si="64"/>
        <v>-3.3240584999999996</v>
      </c>
      <c r="BC50" s="12">
        <f t="shared" si="65"/>
        <v>-5.4228236512878399E-2</v>
      </c>
      <c r="BD50" s="20">
        <f t="shared" si="66"/>
        <v>0</v>
      </c>
      <c r="BE50" s="21"/>
      <c r="BF50" s="20">
        <f>0.079*1000</f>
        <v>79</v>
      </c>
      <c r="BG50" s="20">
        <f>0.0139453*1000</f>
        <v>13.945300000000001</v>
      </c>
      <c r="BH50" s="11">
        <f t="shared" si="67"/>
        <v>21.026499999999999</v>
      </c>
      <c r="BI50" s="12">
        <f t="shared" si="68"/>
        <v>0.36269157459873902</v>
      </c>
      <c r="BJ50" s="20">
        <f t="shared" si="69"/>
        <v>13.945300000000001</v>
      </c>
      <c r="BK50" s="21"/>
      <c r="BL50" s="20">
        <v>50.351700000000001</v>
      </c>
      <c r="BM50" s="20"/>
      <c r="BN50" s="11">
        <f t="shared" si="70"/>
        <v>-28.648299999999999</v>
      </c>
      <c r="BO50" s="12">
        <f t="shared" si="71"/>
        <v>-0.36263670886075949</v>
      </c>
      <c r="BP50" s="20">
        <f>BM50-BG50</f>
        <v>-13.945300000000001</v>
      </c>
      <c r="BQ50" s="21"/>
      <c r="BR50" s="64">
        <v>47.893599999999999</v>
      </c>
      <c r="BS50" s="64"/>
      <c r="BT50" s="20">
        <v>57.461399999999998</v>
      </c>
      <c r="BU50" s="20"/>
      <c r="BV50" s="11">
        <f t="shared" si="80"/>
        <v>9.5677999999999983</v>
      </c>
      <c r="BW50" s="12">
        <f t="shared" si="81"/>
        <v>0.19977199458800338</v>
      </c>
      <c r="BX50" s="20"/>
      <c r="BY50" s="21"/>
    </row>
    <row r="51" spans="1:78" s="13" customFormat="1" ht="25.5" x14ac:dyDescent="0.25">
      <c r="A51" s="5" t="s">
        <v>56</v>
      </c>
      <c r="B51" s="15">
        <v>74.549000000000007</v>
      </c>
      <c r="C51" s="16"/>
      <c r="D51" s="17">
        <v>38.26</v>
      </c>
      <c r="E51" s="17"/>
      <c r="F51" s="16">
        <v>-36.289000000000001</v>
      </c>
      <c r="G51" s="18">
        <v>-0.48680000000000001</v>
      </c>
      <c r="H51" s="19"/>
      <c r="I51" s="19"/>
      <c r="J51" s="20">
        <v>10.682</v>
      </c>
      <c r="K51" s="20"/>
      <c r="L51" s="20">
        <f t="shared" si="53"/>
        <v>-27.577999999999996</v>
      </c>
      <c r="M51" s="21">
        <f t="shared" si="54"/>
        <v>-0.72080501829587029</v>
      </c>
      <c r="N51" s="20"/>
      <c r="O51" s="21"/>
      <c r="P51" s="20">
        <v>139.578</v>
      </c>
      <c r="Q51" s="20"/>
      <c r="R51" s="20">
        <f t="shared" si="55"/>
        <v>128.89600000000002</v>
      </c>
      <c r="S51" s="21">
        <f t="shared" si="56"/>
        <v>12.066654184609625</v>
      </c>
      <c r="T51" s="20"/>
      <c r="U51" s="21"/>
      <c r="V51" s="20">
        <v>58.945</v>
      </c>
      <c r="W51" s="20"/>
      <c r="X51" s="20">
        <f t="shared" si="57"/>
        <v>-80.63300000000001</v>
      </c>
      <c r="Y51" s="21">
        <f t="shared" si="58"/>
        <v>-0.57769132671337897</v>
      </c>
      <c r="Z51" s="20"/>
      <c r="AA51" s="21"/>
      <c r="AB51" s="20">
        <v>118.65036748</v>
      </c>
      <c r="AC51" s="20"/>
      <c r="AD51" s="20">
        <f t="shared" si="59"/>
        <v>59.70536748</v>
      </c>
      <c r="AE51" s="21">
        <f t="shared" si="60"/>
        <v>1.0128996094664517</v>
      </c>
      <c r="AF51" s="20"/>
      <c r="AG51" s="21"/>
      <c r="AH51" s="20">
        <v>124.6309</v>
      </c>
      <c r="AI51" s="20">
        <v>11.132999999999999</v>
      </c>
      <c r="AJ51" s="20">
        <f t="shared" si="37"/>
        <v>5.980532519999997</v>
      </c>
      <c r="AK51" s="21">
        <f t="shared" si="38"/>
        <v>5.0404669172289675E-2</v>
      </c>
      <c r="AL51" s="20">
        <f t="shared" si="39"/>
        <v>11.132999999999999</v>
      </c>
      <c r="AM51" s="21"/>
      <c r="AN51" s="20">
        <v>114.11452337</v>
      </c>
      <c r="AO51" s="20"/>
      <c r="AP51" s="20">
        <f t="shared" si="11"/>
        <v>-10.516376629999996</v>
      </c>
      <c r="AQ51" s="21">
        <f t="shared" si="28"/>
        <v>-8.4380170808362909E-2</v>
      </c>
      <c r="AR51" s="20">
        <f t="shared" si="40"/>
        <v>-11.132999999999999</v>
      </c>
      <c r="AS51" s="21">
        <f>AR51/AI51</f>
        <v>-1</v>
      </c>
      <c r="AT51" s="20">
        <v>72.505112299999993</v>
      </c>
      <c r="AU51" s="20"/>
      <c r="AV51" s="11">
        <f t="shared" si="61"/>
        <v>-41.609411070000007</v>
      </c>
      <c r="AW51" s="12">
        <f t="shared" si="62"/>
        <v>-0.36462853141915558</v>
      </c>
      <c r="AX51" s="20">
        <f t="shared" si="63"/>
        <v>0</v>
      </c>
      <c r="AY51" s="21"/>
      <c r="AZ51" s="20">
        <v>105.6908</v>
      </c>
      <c r="BA51" s="20"/>
      <c r="BB51" s="11">
        <f t="shared" si="64"/>
        <v>33.185687700000003</v>
      </c>
      <c r="BC51" s="12">
        <f t="shared" si="65"/>
        <v>0.45770134887440211</v>
      </c>
      <c r="BD51" s="20">
        <f t="shared" si="66"/>
        <v>0</v>
      </c>
      <c r="BE51" s="21"/>
      <c r="BF51" s="20">
        <f>0.0821328*1000</f>
        <v>82.132800000000003</v>
      </c>
      <c r="BG51" s="20">
        <v>0</v>
      </c>
      <c r="BH51" s="11">
        <f t="shared" si="67"/>
        <v>-23.557999999999993</v>
      </c>
      <c r="BI51" s="12">
        <f t="shared" si="68"/>
        <v>-0.22289546488436074</v>
      </c>
      <c r="BJ51" s="20">
        <f t="shared" si="69"/>
        <v>0</v>
      </c>
      <c r="BK51" s="21"/>
      <c r="BL51" s="20">
        <v>74.241399999999999</v>
      </c>
      <c r="BM51" s="20"/>
      <c r="BN51" s="11">
        <f t="shared" si="70"/>
        <v>-7.8914000000000044</v>
      </c>
      <c r="BO51" s="12">
        <f t="shared" si="71"/>
        <v>-9.6080981045331512E-2</v>
      </c>
      <c r="BP51" s="20"/>
      <c r="BQ51" s="21"/>
      <c r="BR51" s="64">
        <v>74.241399999999999</v>
      </c>
      <c r="BS51" s="64"/>
      <c r="BT51" s="20">
        <v>90.785399999999996</v>
      </c>
      <c r="BU51" s="20"/>
      <c r="BV51" s="11">
        <f t="shared" si="80"/>
        <v>16.543999999999997</v>
      </c>
      <c r="BW51" s="12">
        <f t="shared" si="81"/>
        <v>0.22284062531148385</v>
      </c>
      <c r="BX51" s="20"/>
      <c r="BY51" s="21"/>
    </row>
    <row r="52" spans="1:78" s="13" customFormat="1" ht="25.5" x14ac:dyDescent="0.25">
      <c r="A52" s="5" t="s">
        <v>57</v>
      </c>
      <c r="B52" s="15">
        <v>28.100999999999999</v>
      </c>
      <c r="C52" s="16">
        <v>5.4829999999999997</v>
      </c>
      <c r="D52" s="17">
        <v>31.638999999999999</v>
      </c>
      <c r="E52" s="17">
        <v>15.398999999999999</v>
      </c>
      <c r="F52" s="16">
        <v>3.5379999999999998</v>
      </c>
      <c r="G52" s="18">
        <v>0.12590000000000001</v>
      </c>
      <c r="H52" s="19">
        <v>9.9160000000000004</v>
      </c>
      <c r="I52" s="18">
        <v>0.31340000000000001</v>
      </c>
      <c r="J52" s="20"/>
      <c r="K52" s="20"/>
      <c r="L52" s="20">
        <f t="shared" si="53"/>
        <v>-31.638999999999999</v>
      </c>
      <c r="M52" s="21">
        <f t="shared" si="54"/>
        <v>-1</v>
      </c>
      <c r="N52" s="20">
        <f>K52-E52</f>
        <v>-15.398999999999999</v>
      </c>
      <c r="O52" s="21">
        <f>N52/E52</f>
        <v>-1</v>
      </c>
      <c r="P52" s="20"/>
      <c r="Q52" s="20"/>
      <c r="R52" s="20"/>
      <c r="S52" s="21"/>
      <c r="T52" s="20"/>
      <c r="U52" s="21"/>
      <c r="V52" s="20"/>
      <c r="W52" s="20"/>
      <c r="X52" s="20"/>
      <c r="Y52" s="21"/>
      <c r="Z52" s="20"/>
      <c r="AA52" s="21"/>
      <c r="AB52" s="20"/>
      <c r="AC52" s="20"/>
      <c r="AD52" s="20"/>
      <c r="AE52" s="21"/>
      <c r="AF52" s="20"/>
      <c r="AG52" s="21"/>
      <c r="AH52" s="20"/>
      <c r="AI52" s="20"/>
      <c r="AJ52" s="20"/>
      <c r="AK52" s="21"/>
      <c r="AL52" s="20"/>
      <c r="AM52" s="21"/>
      <c r="AN52" s="20"/>
      <c r="AO52" s="20"/>
      <c r="AP52" s="20"/>
      <c r="AQ52" s="21"/>
      <c r="AR52" s="20"/>
      <c r="AS52" s="21"/>
      <c r="AT52" s="20"/>
      <c r="AU52" s="20"/>
      <c r="AV52" s="11"/>
      <c r="AW52" s="12"/>
      <c r="AX52" s="20"/>
      <c r="AY52" s="21"/>
      <c r="AZ52" s="20"/>
      <c r="BA52" s="20"/>
      <c r="BB52" s="11"/>
      <c r="BC52" s="12"/>
      <c r="BD52" s="20"/>
      <c r="BE52" s="21"/>
      <c r="BF52" s="20"/>
      <c r="BG52" s="20"/>
      <c r="BH52" s="11"/>
      <c r="BI52" s="12"/>
      <c r="BJ52" s="20"/>
      <c r="BK52" s="21"/>
      <c r="BL52" s="20"/>
      <c r="BM52" s="20"/>
      <c r="BN52" s="11"/>
      <c r="BO52" s="12"/>
      <c r="BP52" s="20"/>
      <c r="BQ52" s="21"/>
      <c r="BR52" s="64"/>
      <c r="BS52" s="64"/>
      <c r="BT52" s="20"/>
      <c r="BU52" s="20"/>
      <c r="BV52" s="11"/>
      <c r="BW52" s="12"/>
      <c r="BX52" s="20"/>
      <c r="BY52" s="21"/>
    </row>
    <row r="53" spans="1:78" s="13" customFormat="1" ht="25.5" x14ac:dyDescent="0.25">
      <c r="A53" s="14" t="s">
        <v>59</v>
      </c>
      <c r="B53" s="15">
        <v>14.224</v>
      </c>
      <c r="C53" s="16"/>
      <c r="D53" s="17">
        <v>13.285</v>
      </c>
      <c r="E53" s="17"/>
      <c r="F53" s="16">
        <v>-0.93899999999999995</v>
      </c>
      <c r="G53" s="18">
        <v>-6.6000000000000003E-2</v>
      </c>
      <c r="H53" s="19"/>
      <c r="I53" s="19"/>
      <c r="J53" s="20">
        <v>0.41899999999999998</v>
      </c>
      <c r="K53" s="20"/>
      <c r="L53" s="20">
        <f t="shared" si="53"/>
        <v>-12.866</v>
      </c>
      <c r="M53" s="21">
        <f t="shared" si="54"/>
        <v>-0.96846066992849078</v>
      </c>
      <c r="N53" s="20"/>
      <c r="O53" s="21"/>
      <c r="P53" s="20">
        <v>13.859</v>
      </c>
      <c r="Q53" s="20"/>
      <c r="R53" s="20">
        <f>P53-J53</f>
        <v>13.44</v>
      </c>
      <c r="S53" s="21">
        <f>R53/J53</f>
        <v>32.076372315035798</v>
      </c>
      <c r="T53" s="20"/>
      <c r="U53" s="21"/>
      <c r="V53" s="20">
        <v>10.154</v>
      </c>
      <c r="W53" s="20"/>
      <c r="X53" s="20">
        <f t="shared" ref="X53:X59" si="82">V53-P53</f>
        <v>-3.7050000000000001</v>
      </c>
      <c r="Y53" s="21">
        <f>X53/P53</f>
        <v>-0.26733530557760299</v>
      </c>
      <c r="Z53" s="20"/>
      <c r="AA53" s="21"/>
      <c r="AB53" s="20">
        <v>3.9272025400000001</v>
      </c>
      <c r="AC53" s="20"/>
      <c r="AD53" s="20">
        <f t="shared" ref="AD53:AD59" si="83">AB53-V53</f>
        <v>-6.2267974600000002</v>
      </c>
      <c r="AE53" s="21">
        <f>AD53/V53</f>
        <v>-0.613235912940713</v>
      </c>
      <c r="AF53" s="20"/>
      <c r="AG53" s="21"/>
      <c r="AH53" s="20">
        <v>23.9038</v>
      </c>
      <c r="AI53" s="20"/>
      <c r="AJ53" s="20">
        <f t="shared" ref="AJ53:AJ59" si="84">AH53-AB53</f>
        <v>19.976597460000001</v>
      </c>
      <c r="AK53" s="21">
        <f t="shared" ref="AK53:AK59" si="85">AJ53/AB53</f>
        <v>5.0867245212160617</v>
      </c>
      <c r="AL53" s="20">
        <f t="shared" ref="AL53:AL59" si="86">AI53-AC53</f>
        <v>0</v>
      </c>
      <c r="AM53" s="21"/>
      <c r="AN53" s="20">
        <v>24.35564342</v>
      </c>
      <c r="AO53" s="20"/>
      <c r="AP53" s="20">
        <f t="shared" ref="AP53:AP59" si="87">AN53-AH53</f>
        <v>0.45184341999999944</v>
      </c>
      <c r="AQ53" s="21">
        <f t="shared" ref="AQ53:AQ59" si="88">AP53/AH53</f>
        <v>1.8902576996126116E-2</v>
      </c>
      <c r="AR53" s="20">
        <f t="shared" ref="AR53:AR60" si="89">AO53-AI53</f>
        <v>0</v>
      </c>
      <c r="AS53" s="21"/>
      <c r="AT53" s="20">
        <v>28.31157082</v>
      </c>
      <c r="AU53" s="20"/>
      <c r="AV53" s="11">
        <f>AT53-AN53</f>
        <v>3.9559274000000002</v>
      </c>
      <c r="AW53" s="12">
        <f>AV53/AN53</f>
        <v>0.16242344050543667</v>
      </c>
      <c r="AX53" s="20">
        <f>AU53-AO53</f>
        <v>0</v>
      </c>
      <c r="AY53" s="21"/>
      <c r="AZ53" s="20">
        <v>35.159199999999998</v>
      </c>
      <c r="BA53" s="20"/>
      <c r="BB53" s="11">
        <f>AZ53-AT53</f>
        <v>6.8476291799999984</v>
      </c>
      <c r="BC53" s="12">
        <f>BB53/AT53</f>
        <v>0.24186680504363475</v>
      </c>
      <c r="BD53" s="20">
        <f>BA53-AU53</f>
        <v>0</v>
      </c>
      <c r="BE53" s="21"/>
      <c r="BF53" s="20">
        <f>0.0306701*1000</f>
        <v>30.670099999999998</v>
      </c>
      <c r="BG53" s="20">
        <v>0</v>
      </c>
      <c r="BH53" s="11">
        <f>BF53-AZ53</f>
        <v>-4.4891000000000005</v>
      </c>
      <c r="BI53" s="12">
        <f>BH53/AZ53</f>
        <v>-0.12767924184850624</v>
      </c>
      <c r="BJ53" s="20">
        <f>BG53-BA53</f>
        <v>0</v>
      </c>
      <c r="BK53" s="21"/>
      <c r="BL53" s="20">
        <v>11.4368</v>
      </c>
      <c r="BM53" s="20"/>
      <c r="BN53" s="11">
        <f>BL53-BF53</f>
        <v>-19.2333</v>
      </c>
      <c r="BO53" s="12">
        <f>BN53/BF53</f>
        <v>-0.62710261785908761</v>
      </c>
      <c r="BP53" s="20"/>
      <c r="BQ53" s="21"/>
      <c r="BR53" s="64">
        <v>11.4368</v>
      </c>
      <c r="BS53" s="64"/>
      <c r="BT53" s="20">
        <v>31.112400000000001</v>
      </c>
      <c r="BU53" s="20"/>
      <c r="BV53" s="11">
        <f t="shared" si="80"/>
        <v>19.675600000000003</v>
      </c>
      <c r="BW53" s="12">
        <f t="shared" si="81"/>
        <v>1.7203763290430893</v>
      </c>
      <c r="BX53" s="20"/>
      <c r="BY53" s="21"/>
    </row>
    <row r="54" spans="1:78" s="13" customFormat="1" ht="25.5" x14ac:dyDescent="0.25">
      <c r="A54" s="5" t="s">
        <v>58</v>
      </c>
      <c r="B54" s="15"/>
      <c r="C54" s="16"/>
      <c r="D54" s="17"/>
      <c r="E54" s="17"/>
      <c r="F54" s="16"/>
      <c r="G54" s="18"/>
      <c r="H54" s="19"/>
      <c r="I54" s="18"/>
      <c r="J54" s="20"/>
      <c r="K54" s="20"/>
      <c r="L54" s="20"/>
      <c r="M54" s="21"/>
      <c r="N54" s="20"/>
      <c r="O54" s="21"/>
      <c r="P54" s="20"/>
      <c r="Q54" s="20"/>
      <c r="R54" s="20"/>
      <c r="S54" s="21"/>
      <c r="T54" s="20"/>
      <c r="U54" s="21"/>
      <c r="V54" s="20">
        <v>0.22600000000000001</v>
      </c>
      <c r="W54" s="20"/>
      <c r="X54" s="20">
        <f t="shared" si="82"/>
        <v>0.22600000000000001</v>
      </c>
      <c r="Y54" s="21"/>
      <c r="Z54" s="20"/>
      <c r="AA54" s="21"/>
      <c r="AB54" s="20">
        <v>5.2362900000000002E-3</v>
      </c>
      <c r="AC54" s="20"/>
      <c r="AD54" s="20">
        <f t="shared" si="83"/>
        <v>-0.22076371</v>
      </c>
      <c r="AE54" s="21"/>
      <c r="AF54" s="20"/>
      <c r="AG54" s="21"/>
      <c r="AH54" s="20">
        <v>5.1999999999999998E-3</v>
      </c>
      <c r="AI54" s="20"/>
      <c r="AJ54" s="20">
        <f t="shared" si="84"/>
        <v>-3.6290000000000454E-5</v>
      </c>
      <c r="AK54" s="21">
        <f t="shared" si="85"/>
        <v>-6.9304794043111538E-3</v>
      </c>
      <c r="AL54" s="20">
        <f t="shared" si="86"/>
        <v>0</v>
      </c>
      <c r="AM54" s="21"/>
      <c r="AN54" s="20">
        <v>5.2362900000000002E-3</v>
      </c>
      <c r="AO54" s="20"/>
      <c r="AP54" s="20">
        <f t="shared" si="87"/>
        <v>3.6290000000000454E-5</v>
      </c>
      <c r="AQ54" s="21">
        <f t="shared" si="88"/>
        <v>6.9788461538462417E-3</v>
      </c>
      <c r="AR54" s="20">
        <f t="shared" si="89"/>
        <v>0</v>
      </c>
      <c r="AS54" s="21"/>
      <c r="AT54" s="20"/>
      <c r="AU54" s="20"/>
      <c r="AV54" s="11">
        <f>AT54-AN54</f>
        <v>-5.2362900000000002E-3</v>
      </c>
      <c r="AW54" s="12">
        <f>AV54/AN54</f>
        <v>-1</v>
      </c>
      <c r="AX54" s="20">
        <f>AU54-AO54</f>
        <v>0</v>
      </c>
      <c r="AY54" s="21"/>
      <c r="AZ54" s="20"/>
      <c r="BA54" s="20"/>
      <c r="BB54" s="11"/>
      <c r="BC54" s="12"/>
      <c r="BD54" s="20"/>
      <c r="BE54" s="21"/>
      <c r="BF54" s="20"/>
      <c r="BG54" s="20"/>
      <c r="BH54" s="11"/>
      <c r="BI54" s="12"/>
      <c r="BJ54" s="20"/>
      <c r="BK54" s="21"/>
      <c r="BL54" s="20"/>
      <c r="BM54" s="20"/>
      <c r="BN54" s="11"/>
      <c r="BO54" s="12"/>
      <c r="BP54" s="20"/>
      <c r="BQ54" s="21"/>
      <c r="BR54" s="64"/>
      <c r="BS54" s="64"/>
      <c r="BT54" s="20"/>
      <c r="BU54" s="20"/>
      <c r="BV54" s="11"/>
      <c r="BW54" s="12"/>
      <c r="BX54" s="20"/>
      <c r="BY54" s="21"/>
    </row>
    <row r="55" spans="1:78" s="13" customFormat="1" x14ac:dyDescent="0.25">
      <c r="A55" s="5" t="s">
        <v>60</v>
      </c>
      <c r="B55" s="15">
        <v>34.267000000000003</v>
      </c>
      <c r="C55" s="16"/>
      <c r="D55" s="17">
        <v>15.345000000000001</v>
      </c>
      <c r="E55" s="17"/>
      <c r="F55" s="16">
        <v>-18.922000000000001</v>
      </c>
      <c r="G55" s="18">
        <v>-0.55220000000000002</v>
      </c>
      <c r="H55" s="19"/>
      <c r="I55" s="19"/>
      <c r="J55" s="20">
        <v>23.481000000000002</v>
      </c>
      <c r="K55" s="20"/>
      <c r="L55" s="20">
        <f>J55-D55</f>
        <v>8.136000000000001</v>
      </c>
      <c r="M55" s="21">
        <f>L55/D55</f>
        <v>0.53020527859237543</v>
      </c>
      <c r="N55" s="20"/>
      <c r="O55" s="21"/>
      <c r="P55" s="20">
        <v>41.203000000000003</v>
      </c>
      <c r="Q55" s="20">
        <v>11.047000000000001</v>
      </c>
      <c r="R55" s="20">
        <f>P55-J55</f>
        <v>17.722000000000001</v>
      </c>
      <c r="S55" s="21">
        <f>R55/J55</f>
        <v>0.75473787317405561</v>
      </c>
      <c r="T55" s="20">
        <f>Q55-K55</f>
        <v>11.047000000000001</v>
      </c>
      <c r="U55" s="21"/>
      <c r="V55" s="20">
        <v>33.902000000000001</v>
      </c>
      <c r="W55" s="20">
        <v>2.609</v>
      </c>
      <c r="X55" s="20">
        <f t="shared" si="82"/>
        <v>-7.3010000000000019</v>
      </c>
      <c r="Y55" s="21">
        <f>X55/P55</f>
        <v>-0.1771958352547145</v>
      </c>
      <c r="Z55" s="20">
        <f>W55-Q55</f>
        <v>-8.4380000000000006</v>
      </c>
      <c r="AA55" s="21">
        <f>Z55/Q55</f>
        <v>-0.76382728342536432</v>
      </c>
      <c r="AB55" s="20">
        <v>20.62027698</v>
      </c>
      <c r="AC55" s="20"/>
      <c r="AD55" s="20">
        <f t="shared" si="83"/>
        <v>-13.281723020000001</v>
      </c>
      <c r="AE55" s="21">
        <f>AD55/V55</f>
        <v>-0.39176812636422631</v>
      </c>
      <c r="AF55" s="20">
        <f>AC55-W55</f>
        <v>-2.609</v>
      </c>
      <c r="AG55" s="21">
        <f>AF55/W55</f>
        <v>-1</v>
      </c>
      <c r="AH55" s="20">
        <v>44.780900000000003</v>
      </c>
      <c r="AI55" s="20">
        <v>27.867100000000001</v>
      </c>
      <c r="AJ55" s="20">
        <f t="shared" si="84"/>
        <v>24.160623020000003</v>
      </c>
      <c r="AK55" s="21">
        <f t="shared" si="85"/>
        <v>1.1716924580321522</v>
      </c>
      <c r="AL55" s="20">
        <f t="shared" si="86"/>
        <v>27.867100000000001</v>
      </c>
      <c r="AM55" s="21"/>
      <c r="AN55" s="20"/>
      <c r="AO55" s="20"/>
      <c r="AP55" s="20">
        <f t="shared" si="87"/>
        <v>-44.780900000000003</v>
      </c>
      <c r="AQ55" s="21">
        <f t="shared" si="88"/>
        <v>-1</v>
      </c>
      <c r="AR55" s="20">
        <f t="shared" si="89"/>
        <v>-27.867100000000001</v>
      </c>
      <c r="AS55" s="21">
        <f>AR55/AI55</f>
        <v>-1</v>
      </c>
      <c r="AT55" s="20"/>
      <c r="AU55" s="20"/>
      <c r="AV55" s="11"/>
      <c r="AW55" s="12"/>
      <c r="AX55" s="20"/>
      <c r="AY55" s="21"/>
      <c r="AZ55" s="20"/>
      <c r="BA55" s="20"/>
      <c r="BB55" s="11"/>
      <c r="BC55" s="12"/>
      <c r="BD55" s="20"/>
      <c r="BE55" s="21"/>
      <c r="BF55" s="20"/>
      <c r="BG55" s="20"/>
      <c r="BH55" s="11"/>
      <c r="BI55" s="12"/>
      <c r="BJ55" s="20"/>
      <c r="BK55" s="21"/>
      <c r="BL55" s="20"/>
      <c r="BM55" s="20"/>
      <c r="BN55" s="11"/>
      <c r="BO55" s="12"/>
      <c r="BP55" s="20"/>
      <c r="BQ55" s="21"/>
      <c r="BR55" s="64"/>
      <c r="BS55" s="64"/>
      <c r="BT55" s="20"/>
      <c r="BU55" s="20"/>
      <c r="BV55" s="11"/>
      <c r="BW55" s="12"/>
      <c r="BX55" s="20"/>
      <c r="BY55" s="21"/>
    </row>
    <row r="56" spans="1:78" s="13" customFormat="1" ht="25.5" x14ac:dyDescent="0.25">
      <c r="A56" s="5" t="s">
        <v>61</v>
      </c>
      <c r="B56" s="15">
        <v>29.120999999999999</v>
      </c>
      <c r="C56" s="16">
        <v>9.5359999999999996</v>
      </c>
      <c r="D56" s="17">
        <v>31.715</v>
      </c>
      <c r="E56" s="17">
        <v>8.5779999999999994</v>
      </c>
      <c r="F56" s="16">
        <v>2.5939999999999999</v>
      </c>
      <c r="G56" s="18">
        <v>8.9099999999999999E-2</v>
      </c>
      <c r="H56" s="19">
        <v>-0.95799999999999996</v>
      </c>
      <c r="I56" s="18">
        <v>-3.0200000000000001E-2</v>
      </c>
      <c r="J56" s="20">
        <v>29.064</v>
      </c>
      <c r="K56" s="20"/>
      <c r="L56" s="20">
        <f>J56-D56</f>
        <v>-2.6509999999999998</v>
      </c>
      <c r="M56" s="21">
        <f>L56/D56</f>
        <v>-8.3588207472804654E-2</v>
      </c>
      <c r="N56" s="20">
        <f>K56-E56</f>
        <v>-8.5779999999999994</v>
      </c>
      <c r="O56" s="21">
        <f>N56/E56</f>
        <v>-1</v>
      </c>
      <c r="P56" s="20">
        <v>17.757999999999999</v>
      </c>
      <c r="Q56" s="20">
        <v>3.5219999999999998</v>
      </c>
      <c r="R56" s="20">
        <f>P56-J56</f>
        <v>-11.306000000000001</v>
      </c>
      <c r="S56" s="21">
        <f>R56/J56</f>
        <v>-0.3890035783099367</v>
      </c>
      <c r="T56" s="20">
        <f>Q56-K56</f>
        <v>3.5219999999999998</v>
      </c>
      <c r="U56" s="21"/>
      <c r="V56" s="20">
        <v>19.574999999999999</v>
      </c>
      <c r="W56" s="20"/>
      <c r="X56" s="20">
        <f t="shared" si="82"/>
        <v>1.8170000000000002</v>
      </c>
      <c r="Y56" s="21">
        <f>X56/P56</f>
        <v>0.10232008109021287</v>
      </c>
      <c r="Z56" s="20">
        <f>W56-Q56</f>
        <v>-3.5219999999999998</v>
      </c>
      <c r="AA56" s="21">
        <f>Z56/Q56</f>
        <v>-1</v>
      </c>
      <c r="AB56" s="20">
        <v>14.277505700000001</v>
      </c>
      <c r="AC56" s="20"/>
      <c r="AD56" s="20">
        <f t="shared" si="83"/>
        <v>-5.2974942999999985</v>
      </c>
      <c r="AE56" s="21">
        <f>AD56/V56</f>
        <v>-0.27062550702426558</v>
      </c>
      <c r="AF56" s="20"/>
      <c r="AG56" s="21"/>
      <c r="AH56" s="20">
        <v>21.1831</v>
      </c>
      <c r="AI56" s="20"/>
      <c r="AJ56" s="20">
        <f t="shared" si="84"/>
        <v>6.9055942999999989</v>
      </c>
      <c r="AK56" s="21">
        <f t="shared" si="85"/>
        <v>0.48366951798870572</v>
      </c>
      <c r="AL56" s="20">
        <f t="shared" si="86"/>
        <v>0</v>
      </c>
      <c r="AM56" s="21"/>
      <c r="AN56" s="20">
        <v>14.67372014</v>
      </c>
      <c r="AO56" s="20"/>
      <c r="AP56" s="20">
        <f t="shared" si="87"/>
        <v>-6.5093798599999992</v>
      </c>
      <c r="AQ56" s="21">
        <f t="shared" si="88"/>
        <v>-0.30729118306574577</v>
      </c>
      <c r="AR56" s="20">
        <f t="shared" si="89"/>
        <v>0</v>
      </c>
      <c r="AS56" s="21"/>
      <c r="AT56" s="20">
        <v>47.414166109999996</v>
      </c>
      <c r="AU56" s="20"/>
      <c r="AV56" s="11">
        <f>AT56-AN56</f>
        <v>32.740445969999996</v>
      </c>
      <c r="AW56" s="12">
        <f>AV56/AN56</f>
        <v>2.2312300941838732</v>
      </c>
      <c r="AX56" s="20">
        <f>AU56-AO56</f>
        <v>0</v>
      </c>
      <c r="AY56" s="21"/>
      <c r="AZ56" s="20">
        <v>61.950600000000001</v>
      </c>
      <c r="BA56" s="20"/>
      <c r="BB56" s="11">
        <f>AZ56-AT56</f>
        <v>14.536433890000005</v>
      </c>
      <c r="BC56" s="12">
        <f>BB56/AT56</f>
        <v>0.30658419376765467</v>
      </c>
      <c r="BD56" s="20">
        <f>BA56-AU56</f>
        <v>0</v>
      </c>
      <c r="BE56" s="21"/>
      <c r="BF56" s="20">
        <v>50.199300000000001</v>
      </c>
      <c r="BG56" s="20">
        <v>0</v>
      </c>
      <c r="BH56" s="11">
        <f>BF56-AZ56</f>
        <v>-11.751300000000001</v>
      </c>
      <c r="BI56" s="12">
        <f>BH56/AZ56</f>
        <v>-0.18968823546503183</v>
      </c>
      <c r="BJ56" s="20">
        <f>BG56-BA56</f>
        <v>0</v>
      </c>
      <c r="BK56" s="21"/>
      <c r="BL56" s="20">
        <v>30.773099999999999</v>
      </c>
      <c r="BM56" s="20"/>
      <c r="BN56" s="11">
        <f>BL56-BF56</f>
        <v>-19.426200000000001</v>
      </c>
      <c r="BO56" s="12">
        <f>BN56/BF56</f>
        <v>-0.38698149177378971</v>
      </c>
      <c r="BP56" s="20"/>
      <c r="BQ56" s="21"/>
      <c r="BR56" s="64">
        <v>30.7498</v>
      </c>
      <c r="BS56" s="64"/>
      <c r="BT56" s="20">
        <v>87.551199999999994</v>
      </c>
      <c r="BU56" s="20">
        <v>0.2505</v>
      </c>
      <c r="BV56" s="11">
        <f t="shared" si="80"/>
        <v>56.801399999999994</v>
      </c>
      <c r="BW56" s="12">
        <f t="shared" si="81"/>
        <v>1.8472120143870852</v>
      </c>
      <c r="BX56" s="20">
        <f>BU56-BM56</f>
        <v>0.2505</v>
      </c>
      <c r="BY56" s="21"/>
      <c r="BZ56" s="35"/>
    </row>
    <row r="57" spans="1:78" s="13" customFormat="1" ht="25.5" x14ac:dyDescent="0.25">
      <c r="A57" s="5" t="s">
        <v>62</v>
      </c>
      <c r="B57" s="15">
        <v>33.902999999999999</v>
      </c>
      <c r="C57" s="16">
        <v>11.314</v>
      </c>
      <c r="D57" s="17">
        <v>24.029</v>
      </c>
      <c r="E57" s="17">
        <v>10.791</v>
      </c>
      <c r="F57" s="16">
        <v>-9.8740000000000006</v>
      </c>
      <c r="G57" s="18">
        <v>-0.29120000000000001</v>
      </c>
      <c r="H57" s="19">
        <v>-0.52300000000000002</v>
      </c>
      <c r="I57" s="18">
        <v>-2.18E-2</v>
      </c>
      <c r="J57" s="20">
        <v>27.129000000000001</v>
      </c>
      <c r="K57" s="20">
        <v>8.891</v>
      </c>
      <c r="L57" s="20">
        <f>J57-D57</f>
        <v>3.1000000000000014</v>
      </c>
      <c r="M57" s="21">
        <f>L57/D57</f>
        <v>0.12901077864247373</v>
      </c>
      <c r="N57" s="20">
        <f>K57-E57</f>
        <v>-1.9000000000000004</v>
      </c>
      <c r="O57" s="21">
        <f>N57/E57</f>
        <v>-0.17607265313687334</v>
      </c>
      <c r="P57" s="20">
        <v>48.823999999999998</v>
      </c>
      <c r="Q57" s="20">
        <v>7.8710000000000004</v>
      </c>
      <c r="R57" s="20">
        <f>P57-J57</f>
        <v>21.694999999999997</v>
      </c>
      <c r="S57" s="21">
        <f>R57/J57</f>
        <v>0.79969774042537489</v>
      </c>
      <c r="T57" s="20">
        <f>Q57-K57</f>
        <v>-1.0199999999999996</v>
      </c>
      <c r="U57" s="21">
        <f>T57/K57</f>
        <v>-0.11472275334608026</v>
      </c>
      <c r="V57" s="20">
        <v>43.484999999999999</v>
      </c>
      <c r="W57" s="20">
        <v>3.2189999999999999</v>
      </c>
      <c r="X57" s="20">
        <f t="shared" si="82"/>
        <v>-5.3389999999999986</v>
      </c>
      <c r="Y57" s="21">
        <f>X57/P57</f>
        <v>-0.10935195805341633</v>
      </c>
      <c r="Z57" s="20">
        <f>W57-Q57</f>
        <v>-4.652000000000001</v>
      </c>
      <c r="AA57" s="21">
        <f>Z57/Q57</f>
        <v>-0.5910303646296533</v>
      </c>
      <c r="AB57" s="20">
        <v>35.138348749999999</v>
      </c>
      <c r="AC57" s="20"/>
      <c r="AD57" s="20">
        <f t="shared" si="83"/>
        <v>-8.3466512500000007</v>
      </c>
      <c r="AE57" s="21">
        <f>AD57/V57</f>
        <v>-0.19194322754972981</v>
      </c>
      <c r="AF57" s="20">
        <f>AC57-W57</f>
        <v>-3.2189999999999999</v>
      </c>
      <c r="AG57" s="21">
        <f>AF57/W57</f>
        <v>-1</v>
      </c>
      <c r="AH57" s="20">
        <v>51.321800000000003</v>
      </c>
      <c r="AI57" s="20">
        <v>10.481</v>
      </c>
      <c r="AJ57" s="20">
        <f t="shared" si="84"/>
        <v>16.183451250000005</v>
      </c>
      <c r="AK57" s="21">
        <f t="shared" si="85"/>
        <v>0.46056379499050892</v>
      </c>
      <c r="AL57" s="20">
        <f t="shared" si="86"/>
        <v>10.481</v>
      </c>
      <c r="AM57" s="21"/>
      <c r="AN57" s="20">
        <v>40.951533240000003</v>
      </c>
      <c r="AO57" s="20">
        <v>3.61676083</v>
      </c>
      <c r="AP57" s="20">
        <f t="shared" si="87"/>
        <v>-10.37026676</v>
      </c>
      <c r="AQ57" s="21">
        <f t="shared" si="88"/>
        <v>-0.20206358233733032</v>
      </c>
      <c r="AR57" s="20">
        <f t="shared" si="89"/>
        <v>-6.8642391699999994</v>
      </c>
      <c r="AS57" s="21">
        <f>AR57/AI57</f>
        <v>-0.65492216105333456</v>
      </c>
      <c r="AT57" s="20">
        <v>38.232390719999998</v>
      </c>
      <c r="AU57" s="20"/>
      <c r="AV57" s="11">
        <f>AT57-AN57</f>
        <v>-2.7191425200000054</v>
      </c>
      <c r="AW57" s="12">
        <f>AV57/AN57</f>
        <v>-6.6399040643099622E-2</v>
      </c>
      <c r="AX57" s="20">
        <f>AU57-AO57</f>
        <v>-3.61676083</v>
      </c>
      <c r="AY57" s="21">
        <f>AX57/AO57</f>
        <v>-1</v>
      </c>
      <c r="AZ57" s="20">
        <v>54.101599999999998</v>
      </c>
      <c r="BA57" s="20">
        <v>21.847799999999999</v>
      </c>
      <c r="BB57" s="11">
        <f>AZ57-AT57</f>
        <v>15.86920928</v>
      </c>
      <c r="BC57" s="12">
        <f>BB57/AT57</f>
        <v>0.41507237661961205</v>
      </c>
      <c r="BD57" s="20">
        <f>BA57-AU57</f>
        <v>21.847799999999999</v>
      </c>
      <c r="BE57" s="21"/>
      <c r="BF57" s="20">
        <f>0.0466097*1000</f>
        <v>46.609699999999997</v>
      </c>
      <c r="BG57" s="20">
        <f>0.0232337*1000</f>
        <v>23.233699999999999</v>
      </c>
      <c r="BH57" s="11">
        <f>BF57-AZ57</f>
        <v>-7.4919000000000011</v>
      </c>
      <c r="BI57" s="12">
        <f>BH57/AZ57</f>
        <v>-0.13847834444822338</v>
      </c>
      <c r="BJ57" s="20">
        <f>BG57-BA57</f>
        <v>1.3858999999999995</v>
      </c>
      <c r="BK57" s="21">
        <f t="shared" si="50"/>
        <v>6.3434304598174618E-2</v>
      </c>
      <c r="BL57" s="20">
        <v>40.202500000000001</v>
      </c>
      <c r="BM57" s="20"/>
      <c r="BN57" s="11">
        <f>BL57-BF57</f>
        <v>-6.407199999999996</v>
      </c>
      <c r="BO57" s="12">
        <f>BN57/BF57</f>
        <v>-0.13746494828329717</v>
      </c>
      <c r="BP57" s="20">
        <f>BM57-BG57</f>
        <v>-23.233699999999999</v>
      </c>
      <c r="BQ57" s="21">
        <f>BP57/BG57</f>
        <v>-1</v>
      </c>
      <c r="BR57" s="64">
        <v>40.202500000000001</v>
      </c>
      <c r="BS57" s="64"/>
      <c r="BT57" s="20">
        <v>51.598999999999997</v>
      </c>
      <c r="BU57" s="20">
        <v>19.307099999999998</v>
      </c>
      <c r="BV57" s="11">
        <f t="shared" si="80"/>
        <v>11.396499999999996</v>
      </c>
      <c r="BW57" s="12">
        <f t="shared" si="81"/>
        <v>0.28347739568434788</v>
      </c>
      <c r="BX57" s="20">
        <f>BU57-BM57</f>
        <v>19.307099999999998</v>
      </c>
      <c r="BY57" s="21"/>
      <c r="BZ57" s="35"/>
    </row>
    <row r="58" spans="1:78" s="13" customFormat="1" ht="25.5" x14ac:dyDescent="0.25">
      <c r="A58" s="5" t="s">
        <v>63</v>
      </c>
      <c r="B58" s="15">
        <v>15.16</v>
      </c>
      <c r="C58" s="16"/>
      <c r="D58" s="17">
        <v>36.857999999999997</v>
      </c>
      <c r="E58" s="17"/>
      <c r="F58" s="16">
        <v>21.698</v>
      </c>
      <c r="G58" s="18">
        <v>1.4313</v>
      </c>
      <c r="H58" s="19"/>
      <c r="I58" s="19"/>
      <c r="J58" s="20">
        <v>4.9189999999999996</v>
      </c>
      <c r="K58" s="20"/>
      <c r="L58" s="20">
        <f>J58-D58</f>
        <v>-31.938999999999997</v>
      </c>
      <c r="M58" s="21">
        <f>L58/D58</f>
        <v>-0.86654186336751859</v>
      </c>
      <c r="N58" s="20"/>
      <c r="O58" s="21"/>
      <c r="P58" s="20">
        <v>25.864999999999998</v>
      </c>
      <c r="Q58" s="20">
        <v>3.887</v>
      </c>
      <c r="R58" s="20">
        <f>P58-J58</f>
        <v>20.945999999999998</v>
      </c>
      <c r="S58" s="21">
        <f>R58/J58</f>
        <v>4.2581825574303718</v>
      </c>
      <c r="T58" s="20">
        <f>Q58-K58</f>
        <v>3.887</v>
      </c>
      <c r="U58" s="21"/>
      <c r="V58" s="20">
        <v>19.887</v>
      </c>
      <c r="W58" s="20">
        <v>0.36599999999999999</v>
      </c>
      <c r="X58" s="20">
        <f t="shared" si="82"/>
        <v>-5.977999999999998</v>
      </c>
      <c r="Y58" s="21">
        <f>X58/P58</f>
        <v>-0.23112313937753715</v>
      </c>
      <c r="Z58" s="20">
        <f>W58-Q58</f>
        <v>-3.5209999999999999</v>
      </c>
      <c r="AA58" s="21">
        <f>Z58/Q58</f>
        <v>-0.90583997941857475</v>
      </c>
      <c r="AB58" s="20">
        <v>18.756649119999999</v>
      </c>
      <c r="AC58" s="20"/>
      <c r="AD58" s="20">
        <f t="shared" si="83"/>
        <v>-1.1303508800000017</v>
      </c>
      <c r="AE58" s="21">
        <f>AD58/V58</f>
        <v>-5.6838682556443997E-2</v>
      </c>
      <c r="AF58" s="20">
        <f>AC58-W58</f>
        <v>-0.36599999999999999</v>
      </c>
      <c r="AG58" s="21">
        <f>AF58/W58</f>
        <v>-1</v>
      </c>
      <c r="AH58" s="20">
        <v>52.203699999999998</v>
      </c>
      <c r="AI58" s="20">
        <v>5.2187999999999999</v>
      </c>
      <c r="AJ58" s="20">
        <f t="shared" si="84"/>
        <v>33.447050879999999</v>
      </c>
      <c r="AK58" s="21">
        <f t="shared" si="85"/>
        <v>1.7832103520204894</v>
      </c>
      <c r="AL58" s="20">
        <f t="shared" si="86"/>
        <v>5.2187999999999999</v>
      </c>
      <c r="AM58" s="21"/>
      <c r="AN58" s="20">
        <v>20.984150100000001</v>
      </c>
      <c r="AO58" s="20">
        <v>3.9920126200000001</v>
      </c>
      <c r="AP58" s="20">
        <f t="shared" si="87"/>
        <v>-31.219549899999997</v>
      </c>
      <c r="AQ58" s="21">
        <f t="shared" si="88"/>
        <v>-0.59803327925032135</v>
      </c>
      <c r="AR58" s="20">
        <f t="shared" si="89"/>
        <v>-1.2267873799999998</v>
      </c>
      <c r="AS58" s="21">
        <f>AR58/AI58</f>
        <v>-0.23507077872307805</v>
      </c>
      <c r="AT58" s="20">
        <v>31.35608757</v>
      </c>
      <c r="AU58" s="20"/>
      <c r="AV58" s="11">
        <f>AT58-AN58</f>
        <v>10.371937469999999</v>
      </c>
      <c r="AW58" s="12">
        <f>AV58/AN58</f>
        <v>0.49427484175306191</v>
      </c>
      <c r="AX58" s="20">
        <f>AU58-AO58</f>
        <v>-3.9920126200000001</v>
      </c>
      <c r="AY58" s="21">
        <f>AX58/AO58</f>
        <v>-1</v>
      </c>
      <c r="AZ58" s="20">
        <v>83.080799999999996</v>
      </c>
      <c r="BA58" s="20">
        <v>3.6671999999999998</v>
      </c>
      <c r="BB58" s="11">
        <f>AZ58-AT58</f>
        <v>51.724712429999997</v>
      </c>
      <c r="BC58" s="12">
        <f>BB58/AT58</f>
        <v>1.6495907633415248</v>
      </c>
      <c r="BD58" s="20">
        <f>BA58-AU58</f>
        <v>3.6671999999999998</v>
      </c>
      <c r="BE58" s="21"/>
      <c r="BF58" s="20">
        <f>0.0545408*1000</f>
        <v>54.540799999999997</v>
      </c>
      <c r="BG58" s="20">
        <f>0.0012576*1000</f>
        <v>1.2576000000000001</v>
      </c>
      <c r="BH58" s="11">
        <f>BF58-AZ58</f>
        <v>-28.54</v>
      </c>
      <c r="BI58" s="12">
        <f>BH58/AZ58</f>
        <v>-0.3435210060567544</v>
      </c>
      <c r="BJ58" s="20">
        <f>BG58-BA58</f>
        <v>-2.4095999999999997</v>
      </c>
      <c r="BK58" s="21">
        <f t="shared" si="50"/>
        <v>-0.65706806282722507</v>
      </c>
      <c r="BL58" s="20">
        <v>10.0197</v>
      </c>
      <c r="BM58" s="20"/>
      <c r="BN58" s="11">
        <f>BL58-BF58</f>
        <v>-44.521099999999997</v>
      </c>
      <c r="BO58" s="12">
        <f>BN58/BF58</f>
        <v>-0.81628982339826328</v>
      </c>
      <c r="BP58" s="20">
        <f>BM58-BG58</f>
        <v>-1.2576000000000001</v>
      </c>
      <c r="BQ58" s="21">
        <f>BP58/BG58</f>
        <v>-1</v>
      </c>
      <c r="BR58" s="64">
        <v>10.0197</v>
      </c>
      <c r="BS58" s="64"/>
      <c r="BT58" s="20">
        <v>34.299700000000001</v>
      </c>
      <c r="BU58" s="20">
        <v>6.2904999999999998</v>
      </c>
      <c r="BV58" s="11">
        <f t="shared" si="80"/>
        <v>24.28</v>
      </c>
      <c r="BW58" s="12">
        <f t="shared" si="81"/>
        <v>2.4232262442987316</v>
      </c>
      <c r="BX58" s="20">
        <f>BU58-BM58</f>
        <v>6.2904999999999998</v>
      </c>
      <c r="BY58" s="21"/>
      <c r="BZ58" s="35"/>
    </row>
    <row r="59" spans="1:78" s="13" customFormat="1" ht="25.5" x14ac:dyDescent="0.25">
      <c r="A59" s="5" t="s">
        <v>64</v>
      </c>
      <c r="B59" s="15">
        <v>15.824</v>
      </c>
      <c r="C59" s="16"/>
      <c r="D59" s="17">
        <v>11.945</v>
      </c>
      <c r="E59" s="17">
        <v>4.3010000000000002</v>
      </c>
      <c r="F59" s="16">
        <v>-3.879</v>
      </c>
      <c r="G59" s="18">
        <v>-0.24510000000000001</v>
      </c>
      <c r="H59" s="19">
        <v>4.3010000000000002</v>
      </c>
      <c r="I59" s="18">
        <v>0.36009999999999998</v>
      </c>
      <c r="J59" s="20">
        <v>10.582000000000001</v>
      </c>
      <c r="K59" s="20"/>
      <c r="L59" s="20">
        <f>J59-D59</f>
        <v>-1.3629999999999995</v>
      </c>
      <c r="M59" s="21">
        <f>L59/D59</f>
        <v>-0.11410632063624944</v>
      </c>
      <c r="N59" s="20">
        <f>K59-E59</f>
        <v>-4.3010000000000002</v>
      </c>
      <c r="O59" s="21">
        <f>N59/E59</f>
        <v>-1</v>
      </c>
      <c r="P59" s="20">
        <v>25.751000000000001</v>
      </c>
      <c r="Q59" s="20">
        <v>1.794</v>
      </c>
      <c r="R59" s="20">
        <f>P59-J59</f>
        <v>15.169</v>
      </c>
      <c r="S59" s="21">
        <f>R59/J59</f>
        <v>1.4334719334719335</v>
      </c>
      <c r="T59" s="20">
        <f>Q59-K59</f>
        <v>1.794</v>
      </c>
      <c r="U59" s="21"/>
      <c r="V59" s="20">
        <v>2.2909999999999999</v>
      </c>
      <c r="W59" s="20">
        <v>1.5</v>
      </c>
      <c r="X59" s="20">
        <f t="shared" si="82"/>
        <v>-23.46</v>
      </c>
      <c r="Y59" s="21">
        <f>X59/P59</f>
        <v>-0.91103258125898023</v>
      </c>
      <c r="Z59" s="20">
        <f>W59-Q59</f>
        <v>-0.29400000000000004</v>
      </c>
      <c r="AA59" s="21">
        <f>Z59/Q59</f>
        <v>-0.16387959866220739</v>
      </c>
      <c r="AB59" s="20">
        <v>26.863837839999999</v>
      </c>
      <c r="AC59" s="20"/>
      <c r="AD59" s="20">
        <f t="shared" si="83"/>
        <v>24.572837839999998</v>
      </c>
      <c r="AE59" s="21">
        <f>AD59/V59</f>
        <v>10.725813112178088</v>
      </c>
      <c r="AF59" s="20">
        <f>AC59-W59</f>
        <v>-1.5</v>
      </c>
      <c r="AG59" s="21">
        <f>AF59/W59</f>
        <v>-1</v>
      </c>
      <c r="AH59" s="20">
        <v>17.209499999999998</v>
      </c>
      <c r="AI59" s="20">
        <v>0.42920000000000003</v>
      </c>
      <c r="AJ59" s="20">
        <f t="shared" si="84"/>
        <v>-9.6543378400000002</v>
      </c>
      <c r="AK59" s="21">
        <f t="shared" si="85"/>
        <v>-0.35938043914279377</v>
      </c>
      <c r="AL59" s="20">
        <f t="shared" si="86"/>
        <v>0.42920000000000003</v>
      </c>
      <c r="AM59" s="21"/>
      <c r="AN59" s="20">
        <v>26.05006423</v>
      </c>
      <c r="AO59" s="20">
        <v>3.4038637199999999</v>
      </c>
      <c r="AP59" s="20">
        <f t="shared" si="87"/>
        <v>8.8405642300000018</v>
      </c>
      <c r="AQ59" s="21">
        <f t="shared" si="88"/>
        <v>0.51370256137598436</v>
      </c>
      <c r="AR59" s="20">
        <f t="shared" si="89"/>
        <v>2.9746637199999997</v>
      </c>
      <c r="AS59" s="21">
        <f>AR59/AI59</f>
        <v>6.9307169617893747</v>
      </c>
      <c r="AT59" s="20">
        <v>1.5299466500000001</v>
      </c>
      <c r="AU59" s="20"/>
      <c r="AV59" s="11">
        <f>AT59-AN59</f>
        <v>-24.520117580000001</v>
      </c>
      <c r="AW59" s="12">
        <f>AV59/AN59</f>
        <v>-0.94126898742007437</v>
      </c>
      <c r="AX59" s="20">
        <f>AU59-AO59</f>
        <v>-3.4038637199999999</v>
      </c>
      <c r="AY59" s="21">
        <f>AX59/AO59</f>
        <v>-1</v>
      </c>
      <c r="AZ59" s="20">
        <v>12.6511</v>
      </c>
      <c r="BA59" s="20"/>
      <c r="BB59" s="11">
        <f>AZ59-AT59</f>
        <v>11.12115335</v>
      </c>
      <c r="BC59" s="12">
        <f>BB59/AT59</f>
        <v>7.2689811438849841</v>
      </c>
      <c r="BD59" s="20">
        <f>BA59-AU59</f>
        <v>0</v>
      </c>
      <c r="BE59" s="21"/>
      <c r="BF59" s="20">
        <f>0.0095761*1000</f>
        <v>9.5761000000000003</v>
      </c>
      <c r="BG59" s="20">
        <v>0</v>
      </c>
      <c r="BH59" s="11">
        <f>BF59-AZ59</f>
        <v>-3.0749999999999993</v>
      </c>
      <c r="BI59" s="12">
        <f>BH59/AZ59</f>
        <v>-0.24306186813794844</v>
      </c>
      <c r="BJ59" s="20">
        <f>BG59-BA59</f>
        <v>0</v>
      </c>
      <c r="BK59" s="21"/>
      <c r="BL59" s="20">
        <v>3.851</v>
      </c>
      <c r="BM59" s="20"/>
      <c r="BN59" s="11">
        <f>BL59-BF59</f>
        <v>-5.7251000000000003</v>
      </c>
      <c r="BO59" s="12">
        <f>BN59/BF59</f>
        <v>-0.59785298816846111</v>
      </c>
      <c r="BP59" s="20"/>
      <c r="BQ59" s="21"/>
      <c r="BR59" s="64">
        <v>3.8515999999999999</v>
      </c>
      <c r="BS59" s="64"/>
      <c r="BT59" s="20">
        <v>13.017099999999999</v>
      </c>
      <c r="BU59" s="20"/>
      <c r="BV59" s="11">
        <f t="shared" si="80"/>
        <v>9.1654999999999998</v>
      </c>
      <c r="BW59" s="12">
        <f t="shared" si="81"/>
        <v>2.3796604008723645</v>
      </c>
      <c r="BX59" s="20"/>
      <c r="BY59" s="21"/>
    </row>
    <row r="60" spans="1:78" s="13" customFormat="1" x14ac:dyDescent="0.25">
      <c r="A60" s="22" t="s">
        <v>65</v>
      </c>
      <c r="B60" s="15">
        <v>2189.8389999999999</v>
      </c>
      <c r="C60" s="16">
        <v>204.416</v>
      </c>
      <c r="D60" s="17">
        <v>1754.806</v>
      </c>
      <c r="E60" s="17">
        <v>182.66</v>
      </c>
      <c r="F60" s="16">
        <v>-435.03300000000002</v>
      </c>
      <c r="G60" s="18">
        <v>-0.19869999999999999</v>
      </c>
      <c r="H60" s="19">
        <v>-21.756</v>
      </c>
      <c r="I60" s="18">
        <v>-1.24E-2</v>
      </c>
      <c r="J60" s="16">
        <v>1861.14</v>
      </c>
      <c r="K60" s="16">
        <v>91.391000000000005</v>
      </c>
      <c r="L60" s="20">
        <f t="shared" ref="L60" si="90">J60-D60</f>
        <v>106.33400000000006</v>
      </c>
      <c r="M60" s="21">
        <f t="shared" ref="M60" si="91">L60/D60</f>
        <v>6.0595872136293159E-2</v>
      </c>
      <c r="N60" s="20">
        <f t="shared" ref="N60" si="92">K60-E60</f>
        <v>-91.268999999999991</v>
      </c>
      <c r="O60" s="21">
        <f t="shared" ref="O60" si="93">N60/E60</f>
        <v>-0.49966604620606586</v>
      </c>
      <c r="P60" s="16">
        <v>3247.3110000000001</v>
      </c>
      <c r="Q60" s="16">
        <v>301.387</v>
      </c>
      <c r="R60" s="20">
        <f t="shared" ref="R60" si="94">P60-J60</f>
        <v>1386.171</v>
      </c>
      <c r="S60" s="21">
        <f t="shared" ref="S60" si="95">R60/J60</f>
        <v>0.74479673748347786</v>
      </c>
      <c r="T60" s="20">
        <f t="shared" ref="T60" si="96">Q60-K60</f>
        <v>209.99599999999998</v>
      </c>
      <c r="U60" s="21">
        <f t="shared" ref="U60" si="97">T60/K60</f>
        <v>2.2977754921162914</v>
      </c>
      <c r="V60" s="16">
        <f>SUM(V5:V58)</f>
        <v>2648.8660000000004</v>
      </c>
      <c r="W60" s="16">
        <v>117.795</v>
      </c>
      <c r="X60" s="20">
        <f t="shared" ref="X60" si="98">V60-P60</f>
        <v>-598.44499999999971</v>
      </c>
      <c r="Y60" s="21">
        <f t="shared" ref="Y60" si="99">X60/P60</f>
        <v>-0.18428940129233071</v>
      </c>
      <c r="Z60" s="20">
        <f t="shared" ref="Z60" si="100">W60-Q60</f>
        <v>-183.59199999999998</v>
      </c>
      <c r="AA60" s="21">
        <f t="shared" ref="AA60" si="101">Z60/Q60</f>
        <v>-0.6091569974816432</v>
      </c>
      <c r="AB60" s="16">
        <f>SUM(AB5:AB58)</f>
        <v>1967.7611929999998</v>
      </c>
      <c r="AC60" s="16"/>
      <c r="AD60" s="20">
        <f t="shared" ref="AD60" si="102">AB60-V60</f>
        <v>-681.10480700000062</v>
      </c>
      <c r="AE60" s="21">
        <f t="shared" ref="AE60" si="103">AD60/V60</f>
        <v>-0.2571307144264755</v>
      </c>
      <c r="AF60" s="20">
        <f t="shared" ref="AF60" si="104">AC60-W60</f>
        <v>-117.795</v>
      </c>
      <c r="AG60" s="21">
        <f t="shared" ref="AG60" si="105">AF60/W60</f>
        <v>-1</v>
      </c>
      <c r="AH60" s="16">
        <f>SUM(AH5:AH58)+AH59</f>
        <v>2832.9861000000005</v>
      </c>
      <c r="AI60" s="16">
        <f>SUM(AI5:AI58)</f>
        <v>424.43339999999995</v>
      </c>
      <c r="AJ60" s="20">
        <f t="shared" ref="AJ60" si="106">AH60-AB60</f>
        <v>865.22490700000071</v>
      </c>
      <c r="AK60" s="21">
        <f t="shared" ref="AK60" si="107">AJ60/AB60</f>
        <v>0.4397001577619794</v>
      </c>
      <c r="AL60" s="20">
        <f t="shared" ref="AL60" si="108">AI60-AC60</f>
        <v>424.43339999999995</v>
      </c>
      <c r="AM60" s="21"/>
      <c r="AN60" s="16">
        <f>SUM(AN5:AN58)+AN59</f>
        <v>2374.7881946400007</v>
      </c>
      <c r="AO60" s="16">
        <f>SUM(AO5:AO58)</f>
        <v>184.11990165</v>
      </c>
      <c r="AP60" s="20">
        <f t="shared" ref="AP60" si="109">AN60-AH60</f>
        <v>-458.19790535999982</v>
      </c>
      <c r="AQ60" s="21">
        <f t="shared" ref="AQ60" si="110">AP60/AH60</f>
        <v>-0.16173672908596329</v>
      </c>
      <c r="AR60" s="20">
        <f t="shared" si="89"/>
        <v>-240.31349834999995</v>
      </c>
      <c r="AS60" s="21">
        <f t="shared" ref="AS60" si="111">AR60/AI60</f>
        <v>-0.56619836787114297</v>
      </c>
      <c r="AT60" s="16">
        <f>SUM(AT5:AT58)+AT59</f>
        <v>2055.0933327600005</v>
      </c>
      <c r="AU60" s="16">
        <f>SUM(AU5:AU58)</f>
        <v>0</v>
      </c>
      <c r="AV60" s="11">
        <f t="shared" ref="AV60" si="112">AT60-AN60</f>
        <v>-319.69486188000019</v>
      </c>
      <c r="AW60" s="12">
        <f t="shared" ref="AW60" si="113">AV60/AN60</f>
        <v>-0.13462036850341655</v>
      </c>
      <c r="AX60" s="20">
        <f>AU60-AO60</f>
        <v>-184.11990165</v>
      </c>
      <c r="AY60" s="21">
        <f t="shared" ref="AY60" si="114">AX60/AO60</f>
        <v>-1</v>
      </c>
      <c r="AZ60" s="16">
        <f>SUM(AZ5:AZ58)+AZ59</f>
        <v>2978.0281000000004</v>
      </c>
      <c r="BA60" s="16">
        <f>SUM(BA5:BA58)</f>
        <v>95.956100000000006</v>
      </c>
      <c r="BB60" s="11">
        <f t="shared" ref="BB60" si="115">AZ60-AT60</f>
        <v>922.93476723999993</v>
      </c>
      <c r="BC60" s="12">
        <f t="shared" ref="BC60" si="116">BB60/AT60</f>
        <v>0.4490962782699966</v>
      </c>
      <c r="BD60" s="20">
        <f>BA60-AU60</f>
        <v>95.956100000000006</v>
      </c>
      <c r="BE60" s="21"/>
      <c r="BF60" s="16">
        <f>SUM(BF5:BF58)+BF59</f>
        <v>2717.1981000000001</v>
      </c>
      <c r="BG60" s="16">
        <f>SUM(BG5:BG58)</f>
        <v>210.33619999999999</v>
      </c>
      <c r="BH60" s="11">
        <f t="shared" ref="BH60" si="117">BF60-AZ60</f>
        <v>-260.83000000000038</v>
      </c>
      <c r="BI60" s="12">
        <f t="shared" ref="BI60" si="118">BH60/AZ60</f>
        <v>-8.758480150002626E-2</v>
      </c>
      <c r="BJ60" s="20">
        <f>BG60-BA60</f>
        <v>114.38009999999998</v>
      </c>
      <c r="BK60" s="21">
        <f>BJ60/BA60</f>
        <v>1.1920044687101703</v>
      </c>
      <c r="BL60" s="16">
        <f>SUM(BL5:BL58)+BL59</f>
        <v>2042.9342999999999</v>
      </c>
      <c r="BM60" s="16">
        <f>SUM(BM5:BM58)</f>
        <v>0</v>
      </c>
      <c r="BN60" s="11">
        <f>BL60-BF60</f>
        <v>-674.26380000000017</v>
      </c>
      <c r="BO60" s="12">
        <f>BN60/BF60</f>
        <v>-0.2481467214333766</v>
      </c>
      <c r="BP60" s="20">
        <f>BM60-BG60</f>
        <v>-210.33619999999999</v>
      </c>
      <c r="BQ60" s="21">
        <f>BP60/BG60</f>
        <v>-1</v>
      </c>
      <c r="BR60" s="65">
        <f>SUM(BR5:BR58)+BR59</f>
        <v>2002.8941</v>
      </c>
      <c r="BS60" s="65">
        <f>SUM(BS5:BS58)</f>
        <v>0</v>
      </c>
      <c r="BT60" s="16">
        <f>SUM(BT5:BT58)+BT59</f>
        <v>2759.8302000000003</v>
      </c>
      <c r="BU60" s="16">
        <f>SUM(BU5:BU58)</f>
        <v>148.18619999999999</v>
      </c>
      <c r="BV60" s="11">
        <f t="shared" si="80"/>
        <v>756.93610000000035</v>
      </c>
      <c r="BW60" s="12">
        <f t="shared" si="81"/>
        <v>0.37792117915770002</v>
      </c>
      <c r="BX60" s="20">
        <f>BU60-BM60</f>
        <v>148.18619999999999</v>
      </c>
      <c r="BY60" s="21"/>
      <c r="BZ60" s="35"/>
    </row>
    <row r="61" spans="1:78" s="13" customForma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4"/>
      <c r="V61" s="23"/>
      <c r="W61" s="25"/>
      <c r="X61" s="23"/>
      <c r="Y61" s="23"/>
      <c r="Z61" s="25"/>
      <c r="AA61" s="23"/>
      <c r="AB61" s="23"/>
      <c r="AC61" s="23"/>
      <c r="AD61" s="23"/>
      <c r="AE61" s="23"/>
      <c r="AF61" s="25"/>
      <c r="AG61" s="23"/>
      <c r="AS61" s="35"/>
      <c r="AY61" s="35"/>
      <c r="BA61" s="35"/>
      <c r="BE61" s="35"/>
      <c r="BG61" s="35"/>
      <c r="BK61" s="40"/>
      <c r="BM61" s="34"/>
      <c r="BS61" s="34"/>
      <c r="BU61" s="66">
        <f>BU60/BT60</f>
        <v>5.3693955519437377E-2</v>
      </c>
    </row>
    <row r="62" spans="1:78" s="48" customFormat="1" x14ac:dyDescent="0.25">
      <c r="B62" s="49"/>
      <c r="C62" s="49"/>
      <c r="D62" s="49"/>
      <c r="E62" s="49"/>
      <c r="F62" s="49"/>
      <c r="G62" s="49"/>
      <c r="H62" s="49"/>
      <c r="I62" s="49"/>
      <c r="J62" s="50"/>
      <c r="K62" s="50"/>
      <c r="L62" s="49"/>
      <c r="M62" s="49"/>
      <c r="N62" s="49"/>
      <c r="O62" s="49"/>
      <c r="P62" s="50"/>
      <c r="Q62" s="51"/>
      <c r="R62" s="49"/>
      <c r="S62" s="49"/>
      <c r="T62" s="49"/>
      <c r="U62" s="52"/>
      <c r="V62" s="49"/>
      <c r="W62" s="51"/>
      <c r="X62" s="49"/>
      <c r="Y62" s="49"/>
      <c r="Z62" s="51"/>
      <c r="AA62" s="27"/>
      <c r="AB62" s="49"/>
      <c r="AC62" s="51"/>
      <c r="AD62" s="49"/>
      <c r="AE62" s="49"/>
      <c r="AF62" s="51"/>
      <c r="AG62" s="27"/>
      <c r="AN62" s="53"/>
      <c r="AT62" s="54"/>
      <c r="AU62" s="53"/>
      <c r="AZ62" s="53"/>
      <c r="BF62" s="53"/>
      <c r="BG62" s="55"/>
      <c r="BL62" s="54"/>
      <c r="BR62" s="54"/>
      <c r="BT62" s="54"/>
    </row>
    <row r="63" spans="1:78" s="56" customFormat="1" x14ac:dyDescent="0.25">
      <c r="U63" s="57"/>
      <c r="AT63" s="58"/>
      <c r="AU63" s="59"/>
      <c r="BG63" s="60"/>
      <c r="BL63" s="58"/>
      <c r="BR63" s="58"/>
      <c r="BT63" s="58"/>
    </row>
    <row r="64" spans="1:78" s="56" customFormat="1" x14ac:dyDescent="0.25">
      <c r="U64" s="57"/>
      <c r="AT64" s="58"/>
      <c r="BL64" s="58"/>
      <c r="BR64" s="58"/>
      <c r="BT64" s="58"/>
    </row>
    <row r="65" spans="21:72" s="56" customFormat="1" x14ac:dyDescent="0.25">
      <c r="U65" s="57"/>
      <c r="AT65" s="61"/>
      <c r="BL65" s="59"/>
      <c r="BR65" s="59"/>
      <c r="BT65" s="59"/>
    </row>
    <row r="66" spans="21:72" s="56" customFormat="1" x14ac:dyDescent="0.25">
      <c r="U66" s="57"/>
      <c r="AT66" s="61"/>
    </row>
    <row r="67" spans="21:72" s="56" customFormat="1" x14ac:dyDescent="0.25">
      <c r="U67" s="57"/>
      <c r="AT67" s="61"/>
    </row>
    <row r="68" spans="21:72" s="56" customFormat="1" x14ac:dyDescent="0.25">
      <c r="U68" s="57"/>
      <c r="AT68" s="61"/>
    </row>
    <row r="69" spans="21:72" s="56" customFormat="1" x14ac:dyDescent="0.25">
      <c r="U69" s="57"/>
    </row>
  </sheetData>
  <sortState ref="A7:BK59">
    <sortCondition ref="A5:A59"/>
  </sortState>
  <mergeCells count="51">
    <mergeCell ref="A2:A4"/>
    <mergeCell ref="B2:C3"/>
    <mergeCell ref="D2:E3"/>
    <mergeCell ref="F2:I2"/>
    <mergeCell ref="J2:K3"/>
    <mergeCell ref="F3:G3"/>
    <mergeCell ref="H3:I3"/>
    <mergeCell ref="Z3:AA3"/>
    <mergeCell ref="P2:Q3"/>
    <mergeCell ref="R2:U2"/>
    <mergeCell ref="V2:W3"/>
    <mergeCell ref="X2:AA2"/>
    <mergeCell ref="T3:U3"/>
    <mergeCell ref="L2:O2"/>
    <mergeCell ref="L3:M3"/>
    <mergeCell ref="N3:O3"/>
    <mergeCell ref="R3:S3"/>
    <mergeCell ref="X3:Y3"/>
    <mergeCell ref="AH2:AI3"/>
    <mergeCell ref="AJ2:AM2"/>
    <mergeCell ref="AJ3:AK3"/>
    <mergeCell ref="AL3:AM3"/>
    <mergeCell ref="AB2:AC3"/>
    <mergeCell ref="AD2:AG2"/>
    <mergeCell ref="AD3:AE3"/>
    <mergeCell ref="AF3:AG3"/>
    <mergeCell ref="AN2:AO3"/>
    <mergeCell ref="AP2:AS2"/>
    <mergeCell ref="AP3:AQ3"/>
    <mergeCell ref="AR3:AS3"/>
    <mergeCell ref="BB2:BE2"/>
    <mergeCell ref="BB3:BC3"/>
    <mergeCell ref="BD3:BE3"/>
    <mergeCell ref="AT2:AU3"/>
    <mergeCell ref="AV2:AY2"/>
    <mergeCell ref="AV3:AW3"/>
    <mergeCell ref="AX3:AY3"/>
    <mergeCell ref="AZ2:BA3"/>
    <mergeCell ref="BL2:BM3"/>
    <mergeCell ref="BN2:BQ2"/>
    <mergeCell ref="BN3:BO3"/>
    <mergeCell ref="BP3:BQ3"/>
    <mergeCell ref="BF2:BG3"/>
    <mergeCell ref="BH2:BK2"/>
    <mergeCell ref="BH3:BI3"/>
    <mergeCell ref="BJ3:BK3"/>
    <mergeCell ref="BT2:BU3"/>
    <mergeCell ref="BV2:BY2"/>
    <mergeCell ref="BV3:BW3"/>
    <mergeCell ref="BX3:BY3"/>
    <mergeCell ref="BR2:BS3"/>
  </mergeCells>
  <conditionalFormatting sqref="Z5:Z60">
    <cfRule type="cellIs" dxfId="169" priority="203" operator="lessThan">
      <formula>0</formula>
    </cfRule>
    <cfRule type="cellIs" dxfId="168" priority="205" operator="greaterThan">
      <formula>0</formula>
    </cfRule>
  </conditionalFormatting>
  <conditionalFormatting sqref="AA5:AA60">
    <cfRule type="cellIs" dxfId="167" priority="201" operator="lessThan">
      <formula>0</formula>
    </cfRule>
    <cfRule type="cellIs" dxfId="166" priority="202" operator="lessThan">
      <formula>0</formula>
    </cfRule>
    <cfRule type="cellIs" dxfId="165" priority="204" operator="greaterThan">
      <formula>0</formula>
    </cfRule>
  </conditionalFormatting>
  <conditionalFormatting sqref="X5:X60">
    <cfRule type="cellIs" dxfId="164" priority="199" operator="lessThan">
      <formula>0</formula>
    </cfRule>
    <cfRule type="cellIs" dxfId="163" priority="200" operator="greaterThan">
      <formula>0</formula>
    </cfRule>
  </conditionalFormatting>
  <conditionalFormatting sqref="Y5:Y60">
    <cfRule type="cellIs" dxfId="162" priority="197" operator="lessThan">
      <formula>0</formula>
    </cfRule>
    <cfRule type="cellIs" dxfId="161" priority="198" operator="greaterThan">
      <formula>0</formula>
    </cfRule>
  </conditionalFormatting>
  <conditionalFormatting sqref="AA62">
    <cfRule type="cellIs" dxfId="160" priority="194" operator="lessThan">
      <formula>0</formula>
    </cfRule>
    <cfRule type="cellIs" dxfId="159" priority="195" operator="lessThan">
      <formula>0</formula>
    </cfRule>
    <cfRule type="cellIs" dxfId="158" priority="196" operator="greaterThan">
      <formula>0</formula>
    </cfRule>
  </conditionalFormatting>
  <conditionalFormatting sqref="AF5:AF60">
    <cfRule type="cellIs" dxfId="157" priority="188" operator="lessThan">
      <formula>0</formula>
    </cfRule>
    <cfRule type="cellIs" dxfId="156" priority="190" operator="greaterThan">
      <formula>0</formula>
    </cfRule>
  </conditionalFormatting>
  <conditionalFormatting sqref="AG5:AG60">
    <cfRule type="cellIs" dxfId="155" priority="186" operator="lessThan">
      <formula>0</formula>
    </cfRule>
    <cfRule type="cellIs" dxfId="154" priority="187" operator="lessThan">
      <formula>0</formula>
    </cfRule>
    <cfRule type="cellIs" dxfId="153" priority="189" operator="greaterThan">
      <formula>0</formula>
    </cfRule>
  </conditionalFormatting>
  <conditionalFormatting sqref="AD5:AD60">
    <cfRule type="cellIs" dxfId="152" priority="184" operator="lessThan">
      <formula>0</formula>
    </cfRule>
    <cfRule type="cellIs" dxfId="151" priority="185" operator="greaterThan">
      <formula>0</formula>
    </cfRule>
  </conditionalFormatting>
  <conditionalFormatting sqref="AE5:AE60">
    <cfRule type="cellIs" dxfId="150" priority="182" operator="lessThan">
      <formula>0</formula>
    </cfRule>
    <cfRule type="cellIs" dxfId="149" priority="183" operator="greaterThan">
      <formula>0</formula>
    </cfRule>
  </conditionalFormatting>
  <conditionalFormatting sqref="AG62">
    <cfRule type="cellIs" dxfId="148" priority="179" operator="lessThan">
      <formula>0</formula>
    </cfRule>
    <cfRule type="cellIs" dxfId="147" priority="180" operator="lessThan">
      <formula>0</formula>
    </cfRule>
    <cfRule type="cellIs" dxfId="146" priority="181" operator="greaterThan">
      <formula>0</formula>
    </cfRule>
  </conditionalFormatting>
  <conditionalFormatting sqref="AL5:AL60">
    <cfRule type="cellIs" dxfId="145" priority="167" operator="lessThan">
      <formula>0</formula>
    </cfRule>
    <cfRule type="cellIs" dxfId="144" priority="169" operator="greaterThan">
      <formula>0</formula>
    </cfRule>
  </conditionalFormatting>
  <conditionalFormatting sqref="AM5:AM20 AM22:AM60">
    <cfRule type="cellIs" dxfId="143" priority="165" operator="lessThan">
      <formula>0</formula>
    </cfRule>
    <cfRule type="cellIs" dxfId="142" priority="166" operator="lessThan">
      <formula>0</formula>
    </cfRule>
    <cfRule type="cellIs" dxfId="141" priority="168" operator="greaterThan">
      <formula>0</formula>
    </cfRule>
  </conditionalFormatting>
  <conditionalFormatting sqref="AJ5:AJ36 AJ38:AJ60">
    <cfRule type="cellIs" dxfId="140" priority="163" operator="lessThan">
      <formula>0</formula>
    </cfRule>
    <cfRule type="cellIs" dxfId="139" priority="164" operator="greaterThan">
      <formula>0</formula>
    </cfRule>
  </conditionalFormatting>
  <conditionalFormatting sqref="AK5:AK36 AK38:AK60">
    <cfRule type="cellIs" dxfId="138" priority="161" operator="lessThan">
      <formula>0</formula>
    </cfRule>
    <cfRule type="cellIs" dxfId="137" priority="162" operator="greaterThan">
      <formula>0</formula>
    </cfRule>
  </conditionalFormatting>
  <conditionalFormatting sqref="AJ37">
    <cfRule type="cellIs" dxfId="136" priority="159" operator="lessThan">
      <formula>0</formula>
    </cfRule>
    <cfRule type="cellIs" dxfId="135" priority="160" operator="greaterThan">
      <formula>0</formula>
    </cfRule>
  </conditionalFormatting>
  <conditionalFormatting sqref="AK37">
    <cfRule type="cellIs" dxfId="134" priority="157" operator="lessThan">
      <formula>0</formula>
    </cfRule>
    <cfRule type="cellIs" dxfId="133" priority="158" operator="greaterThan">
      <formula>0</formula>
    </cfRule>
  </conditionalFormatting>
  <conditionalFormatting sqref="AL21">
    <cfRule type="cellIs" dxfId="132" priority="154" operator="lessThan">
      <formula>0</formula>
    </cfRule>
    <cfRule type="cellIs" dxfId="131" priority="156" operator="greaterThan">
      <formula>0</formula>
    </cfRule>
  </conditionalFormatting>
  <conditionalFormatting sqref="AM21">
    <cfRule type="cellIs" dxfId="130" priority="152" operator="lessThan">
      <formula>0</formula>
    </cfRule>
    <cfRule type="cellIs" dxfId="129" priority="153" operator="lessThan">
      <formula>0</formula>
    </cfRule>
    <cfRule type="cellIs" dxfId="128" priority="155" operator="greaterThan">
      <formula>0</formula>
    </cfRule>
  </conditionalFormatting>
  <conditionalFormatting sqref="AR5:AR60">
    <cfRule type="cellIs" dxfId="127" priority="149" operator="lessThan">
      <formula>0</formula>
    </cfRule>
    <cfRule type="cellIs" dxfId="126" priority="151" operator="greaterThan">
      <formula>0</formula>
    </cfRule>
  </conditionalFormatting>
  <conditionalFormatting sqref="AS5:AS19 AS22:AS60">
    <cfRule type="cellIs" dxfId="125" priority="147" operator="lessThan">
      <formula>0</formula>
    </cfRule>
    <cfRule type="cellIs" dxfId="124" priority="148" operator="lessThan">
      <formula>0</formula>
    </cfRule>
    <cfRule type="cellIs" dxfId="123" priority="150" operator="greaterThan">
      <formula>0</formula>
    </cfRule>
  </conditionalFormatting>
  <conditionalFormatting sqref="AP5:AP36 AP38:AP58 AP60">
    <cfRule type="cellIs" dxfId="122" priority="145" operator="lessThan">
      <formula>0</formula>
    </cfRule>
    <cfRule type="cellIs" dxfId="121" priority="146" operator="greaterThan">
      <formula>0</formula>
    </cfRule>
  </conditionalFormatting>
  <conditionalFormatting sqref="AQ5:AQ36 AQ38:AQ58 AQ60">
    <cfRule type="cellIs" dxfId="120" priority="143" operator="lessThan">
      <formula>0</formula>
    </cfRule>
    <cfRule type="cellIs" dxfId="119" priority="144" operator="greaterThan">
      <formula>0</formula>
    </cfRule>
  </conditionalFormatting>
  <conditionalFormatting sqref="AP37">
    <cfRule type="cellIs" dxfId="118" priority="141" operator="lessThan">
      <formula>0</formula>
    </cfRule>
    <cfRule type="cellIs" dxfId="117" priority="142" operator="greaterThan">
      <formula>0</formula>
    </cfRule>
  </conditionalFormatting>
  <conditionalFormatting sqref="AQ37">
    <cfRule type="cellIs" dxfId="116" priority="139" operator="lessThan">
      <formula>0</formula>
    </cfRule>
    <cfRule type="cellIs" dxfId="115" priority="140" operator="greaterThan">
      <formula>0</formula>
    </cfRule>
  </conditionalFormatting>
  <conditionalFormatting sqref="AR21">
    <cfRule type="cellIs" dxfId="114" priority="136" operator="lessThan">
      <formula>0</formula>
    </cfRule>
    <cfRule type="cellIs" dxfId="113" priority="138" operator="greaterThan">
      <formula>0</formula>
    </cfRule>
  </conditionalFormatting>
  <conditionalFormatting sqref="AS20:AS21">
    <cfRule type="cellIs" dxfId="112" priority="131" operator="lessThan">
      <formula>0</formula>
    </cfRule>
    <cfRule type="cellIs" dxfId="111" priority="132" operator="lessThan">
      <formula>0</formula>
    </cfRule>
    <cfRule type="cellIs" dxfId="110" priority="133" operator="greaterThan">
      <formula>0</formula>
    </cfRule>
  </conditionalFormatting>
  <conditionalFormatting sqref="AP59">
    <cfRule type="cellIs" dxfId="109" priority="129" operator="lessThan">
      <formula>0</formula>
    </cfRule>
    <cfRule type="cellIs" dxfId="108" priority="130" operator="greaterThan">
      <formula>0</formula>
    </cfRule>
  </conditionalFormatting>
  <conditionalFormatting sqref="AQ59">
    <cfRule type="cellIs" dxfId="107" priority="127" operator="lessThan">
      <formula>0</formula>
    </cfRule>
    <cfRule type="cellIs" dxfId="106" priority="128" operator="greaterThan">
      <formula>0</formula>
    </cfRule>
  </conditionalFormatting>
  <conditionalFormatting sqref="AX5:AX60">
    <cfRule type="cellIs" dxfId="105" priority="124" operator="lessThan">
      <formula>0</formula>
    </cfRule>
    <cfRule type="cellIs" dxfId="104" priority="126" operator="greaterThan">
      <formula>0</formula>
    </cfRule>
  </conditionalFormatting>
  <conditionalFormatting sqref="AY5:AY19 AY22:AY60">
    <cfRule type="cellIs" dxfId="103" priority="122" operator="lessThan">
      <formula>0</formula>
    </cfRule>
    <cfRule type="cellIs" dxfId="102" priority="123" operator="lessThan">
      <formula>0</formula>
    </cfRule>
    <cfRule type="cellIs" dxfId="101" priority="125" operator="greaterThan">
      <formula>0</formula>
    </cfRule>
  </conditionalFormatting>
  <conditionalFormatting sqref="AV5">
    <cfRule type="cellIs" dxfId="100" priority="120" operator="lessThan">
      <formula>0</formula>
    </cfRule>
    <cfRule type="cellIs" dxfId="99" priority="121" operator="greaterThan">
      <formula>0</formula>
    </cfRule>
  </conditionalFormatting>
  <conditionalFormatting sqref="AW5">
    <cfRule type="cellIs" dxfId="98" priority="118" operator="lessThan">
      <formula>0</formula>
    </cfRule>
    <cfRule type="cellIs" dxfId="97" priority="119" operator="greaterThan">
      <formula>0</formula>
    </cfRule>
  </conditionalFormatting>
  <conditionalFormatting sqref="AX21">
    <cfRule type="cellIs" dxfId="96" priority="112" operator="lessThan">
      <formula>0</formula>
    </cfRule>
    <cfRule type="cellIs" dxfId="95" priority="113" operator="greaterThan">
      <formula>0</formula>
    </cfRule>
  </conditionalFormatting>
  <conditionalFormatting sqref="AY20:AY21">
    <cfRule type="cellIs" dxfId="94" priority="109" operator="lessThan">
      <formula>0</formula>
    </cfRule>
    <cfRule type="cellIs" dxfId="93" priority="110" operator="lessThan">
      <formula>0</formula>
    </cfRule>
    <cfRule type="cellIs" dxfId="92" priority="111" operator="greaterThan">
      <formula>0</formula>
    </cfRule>
  </conditionalFormatting>
  <conditionalFormatting sqref="BD5:BD60">
    <cfRule type="cellIs" dxfId="91" priority="102" operator="lessThan">
      <formula>0</formula>
    </cfRule>
    <cfRule type="cellIs" dxfId="90" priority="104" operator="greaterThan">
      <formula>0</formula>
    </cfRule>
  </conditionalFormatting>
  <conditionalFormatting sqref="BE5:BE60">
    <cfRule type="cellIs" dxfId="89" priority="100" operator="lessThan">
      <formula>0</formula>
    </cfRule>
    <cfRule type="cellIs" dxfId="88" priority="101" operator="lessThan">
      <formula>0</formula>
    </cfRule>
    <cfRule type="cellIs" dxfId="87" priority="103" operator="greaterThan">
      <formula>0</formula>
    </cfRule>
  </conditionalFormatting>
  <conditionalFormatting sqref="BB5:BB60">
    <cfRule type="cellIs" dxfId="86" priority="98" operator="lessThan">
      <formula>0</formula>
    </cfRule>
    <cfRule type="cellIs" dxfId="85" priority="99" operator="greaterThan">
      <formula>0</formula>
    </cfRule>
  </conditionalFormatting>
  <conditionalFormatting sqref="BC5:BC60">
    <cfRule type="cellIs" dxfId="84" priority="96" operator="lessThan">
      <formula>0</formula>
    </cfRule>
    <cfRule type="cellIs" dxfId="83" priority="97" operator="greaterThan">
      <formula>0</formula>
    </cfRule>
  </conditionalFormatting>
  <conditionalFormatting sqref="BB37">
    <cfRule type="cellIs" dxfId="82" priority="94" operator="lessThan">
      <formula>0</formula>
    </cfRule>
    <cfRule type="cellIs" dxfId="81" priority="95" operator="greaterThan">
      <formula>0</formula>
    </cfRule>
  </conditionalFormatting>
  <conditionalFormatting sqref="BC37">
    <cfRule type="cellIs" dxfId="80" priority="92" operator="lessThan">
      <formula>0</formula>
    </cfRule>
    <cfRule type="cellIs" dxfId="79" priority="93" operator="greaterThan">
      <formula>0</formula>
    </cfRule>
  </conditionalFormatting>
  <conditionalFormatting sqref="BD21">
    <cfRule type="cellIs" dxfId="78" priority="90" operator="lessThan">
      <formula>0</formula>
    </cfRule>
    <cfRule type="cellIs" dxfId="77" priority="91" operator="greaterThan">
      <formula>0</formula>
    </cfRule>
  </conditionalFormatting>
  <conditionalFormatting sqref="BE20:BE21">
    <cfRule type="cellIs" dxfId="76" priority="87" operator="lessThan">
      <formula>0</formula>
    </cfRule>
    <cfRule type="cellIs" dxfId="75" priority="88" operator="lessThan">
      <formula>0</formula>
    </cfRule>
    <cfRule type="cellIs" dxfId="74" priority="89" operator="greaterThan">
      <formula>0</formula>
    </cfRule>
  </conditionalFormatting>
  <conditionalFormatting sqref="BB59">
    <cfRule type="cellIs" dxfId="73" priority="85" operator="lessThan">
      <formula>0</formula>
    </cfRule>
    <cfRule type="cellIs" dxfId="72" priority="86" operator="greaterThan">
      <formula>0</formula>
    </cfRule>
  </conditionalFormatting>
  <conditionalFormatting sqref="BC59">
    <cfRule type="cellIs" dxfId="71" priority="83" operator="lessThan">
      <formula>0</formula>
    </cfRule>
    <cfRule type="cellIs" dxfId="70" priority="84" operator="greaterThan">
      <formula>0</formula>
    </cfRule>
  </conditionalFormatting>
  <conditionalFormatting sqref="AW6:AW60">
    <cfRule type="cellIs" dxfId="69" priority="81" operator="lessThan">
      <formula>0</formula>
    </cfRule>
    <cfRule type="cellIs" dxfId="68" priority="82" operator="greaterThan">
      <formula>0</formula>
    </cfRule>
  </conditionalFormatting>
  <conditionalFormatting sqref="AV6:AV60"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BJ5:BJ60">
    <cfRule type="cellIs" dxfId="65" priority="76" operator="lessThan">
      <formula>0</formula>
    </cfRule>
    <cfRule type="cellIs" dxfId="64" priority="78" operator="greaterThan">
      <formula>0</formula>
    </cfRule>
  </conditionalFormatting>
  <conditionalFormatting sqref="BK5:BK60">
    <cfRule type="cellIs" dxfId="63" priority="74" operator="lessThan">
      <formula>0</formula>
    </cfRule>
    <cfRule type="cellIs" dxfId="62" priority="75" operator="lessThan">
      <formula>0</formula>
    </cfRule>
    <cfRule type="cellIs" dxfId="61" priority="77" operator="greaterThan">
      <formula>0</formula>
    </cfRule>
  </conditionalFormatting>
  <conditionalFormatting sqref="BH5:BH60">
    <cfRule type="cellIs" dxfId="60" priority="72" operator="lessThan">
      <formula>0</formula>
    </cfRule>
    <cfRule type="cellIs" dxfId="59" priority="73" operator="greaterThan">
      <formula>0</formula>
    </cfRule>
  </conditionalFormatting>
  <conditionalFormatting sqref="BI5:BI60">
    <cfRule type="cellIs" dxfId="58" priority="70" operator="lessThan">
      <formula>0</formula>
    </cfRule>
    <cfRule type="cellIs" dxfId="57" priority="71" operator="greaterThan">
      <formula>0</formula>
    </cfRule>
  </conditionalFormatting>
  <conditionalFormatting sqref="BH37">
    <cfRule type="cellIs" dxfId="56" priority="68" operator="lessThan">
      <formula>0</formula>
    </cfRule>
    <cfRule type="cellIs" dxfId="55" priority="69" operator="greaterThan">
      <formula>0</formula>
    </cfRule>
  </conditionalFormatting>
  <conditionalFormatting sqref="BI37">
    <cfRule type="cellIs" dxfId="54" priority="66" operator="lessThan">
      <formula>0</formula>
    </cfRule>
    <cfRule type="cellIs" dxfId="53" priority="67" operator="greaterThan">
      <formula>0</formula>
    </cfRule>
  </conditionalFormatting>
  <conditionalFormatting sqref="BJ21">
    <cfRule type="cellIs" dxfId="52" priority="64" operator="lessThan">
      <formula>0</formula>
    </cfRule>
    <cfRule type="cellIs" dxfId="51" priority="65" operator="greaterThan">
      <formula>0</formula>
    </cfRule>
  </conditionalFormatting>
  <conditionalFormatting sqref="BK20:BK21">
    <cfRule type="cellIs" dxfId="50" priority="61" operator="lessThan">
      <formula>0</formula>
    </cfRule>
    <cfRule type="cellIs" dxfId="49" priority="62" operator="lessThan">
      <formula>0</formula>
    </cfRule>
    <cfRule type="cellIs" dxfId="48" priority="63" operator="greaterThan">
      <formula>0</formula>
    </cfRule>
  </conditionalFormatting>
  <conditionalFormatting sqref="BH59">
    <cfRule type="cellIs" dxfId="47" priority="59" operator="lessThan">
      <formula>0</formula>
    </cfRule>
    <cfRule type="cellIs" dxfId="46" priority="60" operator="greaterThan">
      <formula>0</formula>
    </cfRule>
  </conditionalFormatting>
  <conditionalFormatting sqref="BI59">
    <cfRule type="cellIs" dxfId="45" priority="57" operator="lessThan">
      <formula>0</formula>
    </cfRule>
    <cfRule type="cellIs" dxfId="44" priority="58" operator="greaterThan">
      <formula>0</formula>
    </cfRule>
  </conditionalFormatting>
  <conditionalFormatting sqref="BG1:BG3 BG61:BG1048576">
    <cfRule type="cellIs" dxfId="43" priority="56" operator="greaterThan">
      <formula>0</formula>
    </cfRule>
  </conditionalFormatting>
  <conditionalFormatting sqref="BP5:BP60">
    <cfRule type="cellIs" dxfId="42" priority="53" operator="lessThan">
      <formula>0</formula>
    </cfRule>
    <cfRule type="cellIs" dxfId="41" priority="55" operator="greaterThan">
      <formula>0</formula>
    </cfRule>
  </conditionalFormatting>
  <conditionalFormatting sqref="BQ5:BQ60">
    <cfRule type="cellIs" dxfId="40" priority="51" operator="lessThan">
      <formula>0</formula>
    </cfRule>
    <cfRule type="cellIs" dxfId="39" priority="52" operator="lessThan">
      <formula>0</formula>
    </cfRule>
    <cfRule type="cellIs" dxfId="38" priority="54" operator="greaterThan">
      <formula>0</formula>
    </cfRule>
  </conditionalFormatting>
  <conditionalFormatting sqref="BN5:BN60">
    <cfRule type="cellIs" dxfId="37" priority="49" operator="lessThan">
      <formula>0</formula>
    </cfRule>
    <cfRule type="cellIs" dxfId="36" priority="50" operator="greaterThan">
      <formula>0</formula>
    </cfRule>
  </conditionalFormatting>
  <conditionalFormatting sqref="BO5:BO60"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BN37">
    <cfRule type="cellIs" dxfId="33" priority="45" operator="lessThan">
      <formula>0</formula>
    </cfRule>
    <cfRule type="cellIs" dxfId="32" priority="46" operator="greaterThan">
      <formula>0</formula>
    </cfRule>
  </conditionalFormatting>
  <conditionalFormatting sqref="BO37">
    <cfRule type="cellIs" dxfId="31" priority="43" operator="lessThan">
      <formula>0</formula>
    </cfRule>
    <cfRule type="cellIs" dxfId="30" priority="44" operator="greaterThan">
      <formula>0</formula>
    </cfRule>
  </conditionalFormatting>
  <conditionalFormatting sqref="BP21">
    <cfRule type="cellIs" dxfId="29" priority="41" operator="lessThan">
      <formula>0</formula>
    </cfRule>
    <cfRule type="cellIs" dxfId="28" priority="42" operator="greaterThan">
      <formula>0</formula>
    </cfRule>
  </conditionalFormatting>
  <conditionalFormatting sqref="BQ20:BQ21">
    <cfRule type="cellIs" dxfId="27" priority="38" operator="lessThan">
      <formula>0</formula>
    </cfRule>
    <cfRule type="cellIs" dxfId="26" priority="39" operator="lessThan">
      <formula>0</formula>
    </cfRule>
    <cfRule type="cellIs" dxfId="25" priority="40" operator="greaterThan">
      <formula>0</formula>
    </cfRule>
  </conditionalFormatting>
  <conditionalFormatting sqref="BN59">
    <cfRule type="cellIs" dxfId="24" priority="36" operator="lessThan">
      <formula>0</formula>
    </cfRule>
    <cfRule type="cellIs" dxfId="23" priority="37" operator="greaterThan">
      <formula>0</formula>
    </cfRule>
  </conditionalFormatting>
  <conditionalFormatting sqref="BO59">
    <cfRule type="cellIs" dxfId="22" priority="34" operator="lessThan">
      <formula>0</formula>
    </cfRule>
    <cfRule type="cellIs" dxfId="21" priority="35" operator="greaterThan">
      <formula>0</formula>
    </cfRule>
  </conditionalFormatting>
  <conditionalFormatting sqref="BM1:BM3 BM5:BM60">
    <cfRule type="cellIs" dxfId="20" priority="33" operator="greaterThan">
      <formula>0</formula>
    </cfRule>
  </conditionalFormatting>
  <conditionalFormatting sqref="BX5:BX60">
    <cfRule type="cellIs" dxfId="19" priority="30" operator="lessThan">
      <formula>0</formula>
    </cfRule>
    <cfRule type="cellIs" dxfId="18" priority="32" operator="greaterThan">
      <formula>0</formula>
    </cfRule>
  </conditionalFormatting>
  <conditionalFormatting sqref="BY5:BY60">
    <cfRule type="cellIs" dxfId="17" priority="28" operator="lessThan">
      <formula>0</formula>
    </cfRule>
    <cfRule type="cellIs" dxfId="16" priority="29" operator="lessThan">
      <formula>0</formula>
    </cfRule>
    <cfRule type="cellIs" dxfId="15" priority="31" operator="greaterThan">
      <formula>0</formula>
    </cfRule>
  </conditionalFormatting>
  <conditionalFormatting sqref="BV5">
    <cfRule type="cellIs" dxfId="14" priority="26" operator="lessThan">
      <formula>0</formula>
    </cfRule>
    <cfRule type="cellIs" dxfId="13" priority="27" operator="greaterThan">
      <formula>0</formula>
    </cfRule>
  </conditionalFormatting>
  <conditionalFormatting sqref="BW5">
    <cfRule type="cellIs" dxfId="12" priority="24" operator="lessThan">
      <formula>0</formula>
    </cfRule>
    <cfRule type="cellIs" dxfId="11" priority="25" operator="greaterThan">
      <formula>0</formula>
    </cfRule>
  </conditionalFormatting>
  <conditionalFormatting sqref="BX21"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BY20:BY21">
    <cfRule type="cellIs" dxfId="8" priority="15" operator="lessThan">
      <formula>0</formula>
    </cfRule>
    <cfRule type="cellIs" dxfId="7" priority="16" operator="lessThan">
      <formula>0</formula>
    </cfRule>
    <cfRule type="cellIs" dxfId="6" priority="17" operator="greaterThan">
      <formula>0</formula>
    </cfRule>
  </conditionalFormatting>
  <conditionalFormatting sqref="BU1:BU3 BU5:BU60">
    <cfRule type="cellIs" dxfId="5" priority="10" operator="greaterThan">
      <formula>0</formula>
    </cfRule>
  </conditionalFormatting>
  <conditionalFormatting sqref="BS1:BS3 BS5:BS60">
    <cfRule type="cellIs" dxfId="4" priority="5" operator="greaterThan">
      <formula>0</formula>
    </cfRule>
  </conditionalFormatting>
  <conditionalFormatting sqref="BV5:BV6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W5:BW6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9685039370078741" right="0.19685039370078741" top="0.19685039370078741" bottom="0.19685039370078741" header="0" footer="0"/>
  <pageSetup paperSize="8" scale="5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Анна Игоревна</dc:creator>
  <cp:lastModifiedBy>Расторгуева Анна Игоревна</cp:lastModifiedBy>
  <cp:lastPrinted>2023-05-22T07:08:49Z</cp:lastPrinted>
  <dcterms:created xsi:type="dcterms:W3CDTF">2020-11-26T15:22:41Z</dcterms:created>
  <dcterms:modified xsi:type="dcterms:W3CDTF">2023-09-12T10:56:49Z</dcterms:modified>
</cp:coreProperties>
</file>